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.hofenk\Documents\A3\Kameroen Werkt!\Jaarafsluiting 2024\"/>
    </mc:Choice>
  </mc:AlternateContent>
  <xr:revisionPtr revIDLastSave="0" documentId="13_ncr:1_{AE352AF4-72D5-444A-97DA-C4DC3420CDB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lans" sheetId="1" r:id="rId1"/>
    <sheet name="SHBM" sheetId="3" r:id="rId2"/>
    <sheet name="Bankmutaties" sheetId="5" r:id="rId3"/>
    <sheet name="Sponsoring Bymyra" sheetId="6" r:id="rId4"/>
    <sheet name="Sponsoring Kameroen" sheetId="8" r:id="rId5"/>
  </sheets>
  <definedNames>
    <definedName name="_xlnm.Print_Area" localSheetId="0">Balans!$A$1:$G$50</definedName>
    <definedName name="_xlnm.Print_Area" localSheetId="1">SHBM!$A$1:$G$43</definedName>
    <definedName name="_xlnm.Print_Area" localSheetId="4">'Sponsoring Kameroen'!#REF!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" i="1" l="1"/>
  <c r="C43" i="1"/>
  <c r="C26" i="1"/>
  <c r="C27" i="1"/>
  <c r="C28" i="1"/>
  <c r="G9" i="1"/>
  <c r="F9" i="1"/>
  <c r="C44" i="1"/>
  <c r="C51" i="1" l="1"/>
  <c r="C50" i="1"/>
  <c r="C49" i="1"/>
  <c r="C42" i="1" l="1"/>
  <c r="C41" i="1"/>
  <c r="C40" i="1"/>
  <c r="C35" i="1"/>
  <c r="C34" i="1"/>
  <c r="C17" i="1" l="1"/>
  <c r="F16" i="3"/>
  <c r="G27" i="3"/>
  <c r="F15" i="3"/>
  <c r="F14" i="3"/>
  <c r="F13" i="3"/>
  <c r="F12" i="3"/>
  <c r="F11" i="3"/>
  <c r="F10" i="3"/>
  <c r="G21" i="3"/>
  <c r="G19" i="3"/>
  <c r="F24" i="3"/>
  <c r="F23" i="3"/>
  <c r="G29" i="3"/>
  <c r="G8" i="3"/>
  <c r="G6" i="3"/>
  <c r="G4" i="3"/>
  <c r="H15" i="8"/>
  <c r="G15" i="8"/>
  <c r="F15" i="8"/>
  <c r="E15" i="8"/>
  <c r="H14" i="8"/>
  <c r="G14" i="8"/>
  <c r="F14" i="8"/>
  <c r="E14" i="8"/>
  <c r="H13" i="8"/>
  <c r="G13" i="8"/>
  <c r="F13" i="8"/>
  <c r="E13" i="8"/>
  <c r="K10" i="8"/>
  <c r="J10" i="8"/>
  <c r="I10" i="8"/>
  <c r="H10" i="8"/>
  <c r="G10" i="8"/>
  <c r="I9" i="8"/>
  <c r="H9" i="8"/>
  <c r="G9" i="8"/>
  <c r="F9" i="8"/>
  <c r="E9" i="8"/>
  <c r="I8" i="8"/>
  <c r="H8" i="8"/>
  <c r="G8" i="8"/>
  <c r="F8" i="8"/>
  <c r="E8" i="8"/>
  <c r="I7" i="8"/>
  <c r="H7" i="8"/>
  <c r="G7" i="8"/>
  <c r="F7" i="8"/>
  <c r="E7" i="8"/>
  <c r="I6" i="8"/>
  <c r="H6" i="8"/>
  <c r="G6" i="8"/>
  <c r="F6" i="8"/>
  <c r="E6" i="8"/>
  <c r="I5" i="8"/>
  <c r="H5" i="8"/>
  <c r="G5" i="8"/>
  <c r="F5" i="8"/>
  <c r="E5" i="8"/>
  <c r="I4" i="8"/>
  <c r="H4" i="8"/>
  <c r="G4" i="8"/>
  <c r="F4" i="8"/>
  <c r="E4" i="8"/>
  <c r="H1" i="8"/>
  <c r="T107" i="6" l="1"/>
  <c r="T108" i="6"/>
  <c r="S106" i="6"/>
  <c r="R106" i="6"/>
  <c r="R109" i="6"/>
  <c r="S109" i="6"/>
  <c r="R108" i="6"/>
  <c r="S108" i="6"/>
  <c r="R107" i="6"/>
  <c r="S107" i="6"/>
  <c r="R96" i="6"/>
  <c r="S96" i="6"/>
  <c r="Q106" i="6"/>
  <c r="P106" i="6"/>
  <c r="O106" i="6"/>
  <c r="N106" i="6"/>
  <c r="M106" i="6"/>
  <c r="L106" i="6"/>
  <c r="K106" i="6"/>
  <c r="J106" i="6"/>
  <c r="I106" i="6"/>
  <c r="H106" i="6"/>
  <c r="L102" i="6"/>
  <c r="L99" i="6"/>
  <c r="P95" i="6"/>
  <c r="O95" i="6"/>
  <c r="N95" i="6"/>
  <c r="M95" i="6"/>
  <c r="L95" i="6"/>
  <c r="P94" i="6"/>
  <c r="O94" i="6"/>
  <c r="N94" i="6"/>
  <c r="M94" i="6"/>
  <c r="L94" i="6"/>
  <c r="P93" i="6"/>
  <c r="O93" i="6"/>
  <c r="N93" i="6"/>
  <c r="M93" i="6"/>
  <c r="L93" i="6"/>
  <c r="P92" i="6"/>
  <c r="O92" i="6"/>
  <c r="N92" i="6"/>
  <c r="M92" i="6"/>
  <c r="L92" i="6"/>
  <c r="P91" i="6"/>
  <c r="O91" i="6"/>
  <c r="N91" i="6"/>
  <c r="M91" i="6"/>
  <c r="L91" i="6"/>
  <c r="P90" i="6"/>
  <c r="O90" i="6"/>
  <c r="N90" i="6"/>
  <c r="M90" i="6"/>
  <c r="L90" i="6"/>
  <c r="P89" i="6"/>
  <c r="O89" i="6"/>
  <c r="N89" i="6"/>
  <c r="M89" i="6"/>
  <c r="L89" i="6"/>
  <c r="P88" i="6"/>
  <c r="O88" i="6"/>
  <c r="N88" i="6"/>
  <c r="M88" i="6"/>
  <c r="L88" i="6"/>
  <c r="P87" i="6"/>
  <c r="O87" i="6"/>
  <c r="N87" i="6"/>
  <c r="M87" i="6"/>
  <c r="L87" i="6"/>
  <c r="O86" i="6"/>
  <c r="N86" i="6"/>
  <c r="M86" i="6"/>
  <c r="L86" i="6"/>
  <c r="K86" i="6"/>
  <c r="O85" i="6"/>
  <c r="N85" i="6"/>
  <c r="M85" i="6"/>
  <c r="L85" i="6"/>
  <c r="K85" i="6"/>
  <c r="O84" i="6"/>
  <c r="N84" i="6"/>
  <c r="M84" i="6"/>
  <c r="L84" i="6"/>
  <c r="K84" i="6"/>
  <c r="S83" i="6"/>
  <c r="R83" i="6"/>
  <c r="Q83" i="6"/>
  <c r="P83" i="6"/>
  <c r="O83" i="6"/>
  <c r="N83" i="6"/>
  <c r="M83" i="6"/>
  <c r="L83" i="6"/>
  <c r="K83" i="6"/>
  <c r="S82" i="6"/>
  <c r="R82" i="6"/>
  <c r="Q82" i="6"/>
  <c r="P82" i="6"/>
  <c r="O82" i="6"/>
  <c r="N82" i="6"/>
  <c r="M82" i="6"/>
  <c r="L82" i="6"/>
  <c r="K82" i="6"/>
  <c r="N81" i="6"/>
  <c r="M81" i="6"/>
  <c r="L81" i="6"/>
  <c r="K81" i="6"/>
  <c r="J81" i="6"/>
  <c r="N80" i="6"/>
  <c r="M80" i="6"/>
  <c r="L80" i="6"/>
  <c r="K80" i="6"/>
  <c r="J80" i="6"/>
  <c r="N79" i="6"/>
  <c r="M79" i="6"/>
  <c r="L79" i="6"/>
  <c r="K79" i="6"/>
  <c r="J79" i="6"/>
  <c r="N78" i="6"/>
  <c r="M78" i="6"/>
  <c r="L78" i="6"/>
  <c r="K78" i="6"/>
  <c r="L103" i="6" s="1"/>
  <c r="J78" i="6"/>
  <c r="M77" i="6"/>
  <c r="T77" i="6" s="1"/>
  <c r="T96" i="6" s="1"/>
  <c r="L77" i="6"/>
  <c r="K77" i="6"/>
  <c r="J77" i="6"/>
  <c r="I77" i="6"/>
  <c r="M76" i="6"/>
  <c r="L76" i="6"/>
  <c r="K76" i="6"/>
  <c r="J76" i="6"/>
  <c r="I76" i="6"/>
  <c r="M75" i="6"/>
  <c r="L75" i="6"/>
  <c r="K75" i="6"/>
  <c r="J75" i="6"/>
  <c r="I75" i="6"/>
  <c r="N74" i="6"/>
  <c r="M74" i="6"/>
  <c r="L74" i="6"/>
  <c r="K74" i="6"/>
  <c r="J74" i="6"/>
  <c r="L73" i="6"/>
  <c r="K73" i="6"/>
  <c r="J73" i="6"/>
  <c r="R71" i="6"/>
  <c r="Q71" i="6"/>
  <c r="P71" i="6"/>
  <c r="O71" i="6"/>
  <c r="N71" i="6"/>
  <c r="M71" i="6"/>
  <c r="L71" i="6"/>
  <c r="K71" i="6"/>
  <c r="J71" i="6"/>
  <c r="M70" i="6"/>
  <c r="L70" i="6"/>
  <c r="K70" i="6"/>
  <c r="J70" i="6"/>
  <c r="L69" i="6"/>
  <c r="K69" i="6"/>
  <c r="J69" i="6"/>
  <c r="I69" i="6"/>
  <c r="H69" i="6"/>
  <c r="L68" i="6"/>
  <c r="K68" i="6"/>
  <c r="J68" i="6"/>
  <c r="I68" i="6"/>
  <c r="H68" i="6"/>
  <c r="L67" i="6"/>
  <c r="K67" i="6"/>
  <c r="J67" i="6"/>
  <c r="I67" i="6"/>
  <c r="H67" i="6"/>
  <c r="L66" i="6"/>
  <c r="K66" i="6"/>
  <c r="J66" i="6"/>
  <c r="I66" i="6"/>
  <c r="H66" i="6"/>
  <c r="R65" i="6"/>
  <c r="Q65" i="6"/>
  <c r="P65" i="6"/>
  <c r="O65" i="6"/>
  <c r="N65" i="6"/>
  <c r="M65" i="6"/>
  <c r="L65" i="6"/>
  <c r="K65" i="6"/>
  <c r="J65" i="6"/>
  <c r="I65" i="6"/>
  <c r="Q64" i="6"/>
  <c r="P64" i="6"/>
  <c r="O64" i="6"/>
  <c r="N64" i="6"/>
  <c r="M64" i="6"/>
  <c r="L64" i="6"/>
  <c r="K64" i="6"/>
  <c r="J64" i="6"/>
  <c r="I64" i="6"/>
  <c r="H64" i="6"/>
  <c r="Q63" i="6"/>
  <c r="P63" i="6"/>
  <c r="O63" i="6"/>
  <c r="N63" i="6"/>
  <c r="M63" i="6"/>
  <c r="L63" i="6"/>
  <c r="K63" i="6"/>
  <c r="J63" i="6"/>
  <c r="I63" i="6"/>
  <c r="H63" i="6"/>
  <c r="Q62" i="6"/>
  <c r="P62" i="6"/>
  <c r="O62" i="6"/>
  <c r="N62" i="6"/>
  <c r="M62" i="6"/>
  <c r="L62" i="6"/>
  <c r="K62" i="6"/>
  <c r="J62" i="6"/>
  <c r="I62" i="6"/>
  <c r="H62" i="6"/>
  <c r="Q61" i="6"/>
  <c r="P61" i="6"/>
  <c r="O61" i="6"/>
  <c r="N61" i="6"/>
  <c r="M61" i="6"/>
  <c r="L61" i="6"/>
  <c r="K61" i="6"/>
  <c r="J61" i="6"/>
  <c r="I61" i="6"/>
  <c r="H61" i="6"/>
  <c r="Q60" i="6"/>
  <c r="P60" i="6"/>
  <c r="O60" i="6"/>
  <c r="N60" i="6"/>
  <c r="M60" i="6"/>
  <c r="L60" i="6"/>
  <c r="K60" i="6"/>
  <c r="J60" i="6"/>
  <c r="I60" i="6"/>
  <c r="H60" i="6"/>
  <c r="Q59" i="6"/>
  <c r="P59" i="6"/>
  <c r="O59" i="6"/>
  <c r="N59" i="6"/>
  <c r="M59" i="6"/>
  <c r="L59" i="6"/>
  <c r="K59" i="6"/>
  <c r="J59" i="6"/>
  <c r="I59" i="6"/>
  <c r="H59" i="6"/>
  <c r="Q58" i="6"/>
  <c r="P58" i="6"/>
  <c r="O58" i="6"/>
  <c r="N58" i="6"/>
  <c r="M58" i="6"/>
  <c r="L58" i="6"/>
  <c r="K58" i="6"/>
  <c r="J58" i="6"/>
  <c r="I58" i="6"/>
  <c r="Q57" i="6"/>
  <c r="P57" i="6"/>
  <c r="O57" i="6"/>
  <c r="N57" i="6"/>
  <c r="M57" i="6"/>
  <c r="L57" i="6"/>
  <c r="K57" i="6"/>
  <c r="J57" i="6"/>
  <c r="I57" i="6"/>
  <c r="H57" i="6"/>
  <c r="Q56" i="6"/>
  <c r="P56" i="6"/>
  <c r="O56" i="6"/>
  <c r="N56" i="6"/>
  <c r="M56" i="6"/>
  <c r="L56" i="6"/>
  <c r="K56" i="6"/>
  <c r="J56" i="6"/>
  <c r="I56" i="6"/>
  <c r="H56" i="6"/>
  <c r="L55" i="6"/>
  <c r="K55" i="6"/>
  <c r="J55" i="6"/>
  <c r="I55" i="6"/>
  <c r="H55" i="6"/>
  <c r="L54" i="6"/>
  <c r="K54" i="6"/>
  <c r="J54" i="6"/>
  <c r="I54" i="6"/>
  <c r="H54" i="6"/>
  <c r="Q53" i="6"/>
  <c r="P53" i="6"/>
  <c r="O53" i="6"/>
  <c r="N53" i="6"/>
  <c r="M53" i="6"/>
  <c r="L53" i="6"/>
  <c r="K53" i="6"/>
  <c r="J53" i="6"/>
  <c r="I53" i="6"/>
  <c r="H53" i="6"/>
  <c r="L52" i="6"/>
  <c r="K52" i="6"/>
  <c r="J52" i="6"/>
  <c r="I52" i="6"/>
  <c r="H52" i="6"/>
  <c r="L51" i="6"/>
  <c r="K51" i="6"/>
  <c r="J51" i="6"/>
  <c r="I51" i="6"/>
  <c r="H51" i="6"/>
  <c r="L50" i="6"/>
  <c r="K50" i="6"/>
  <c r="J50" i="6"/>
  <c r="I50" i="6"/>
  <c r="H50" i="6"/>
  <c r="L49" i="6"/>
  <c r="K49" i="6"/>
  <c r="J49" i="6"/>
  <c r="I49" i="6"/>
  <c r="H49" i="6"/>
  <c r="L48" i="6"/>
  <c r="K48" i="6"/>
  <c r="J48" i="6"/>
  <c r="I48" i="6"/>
  <c r="H48" i="6"/>
  <c r="L47" i="6"/>
  <c r="K47" i="6"/>
  <c r="J47" i="6"/>
  <c r="I47" i="6"/>
  <c r="H47" i="6"/>
  <c r="L46" i="6"/>
  <c r="K46" i="6"/>
  <c r="J46" i="6"/>
  <c r="I46" i="6"/>
  <c r="H46" i="6"/>
  <c r="L45" i="6"/>
  <c r="K45" i="6"/>
  <c r="J45" i="6"/>
  <c r="I45" i="6"/>
  <c r="H45" i="6"/>
  <c r="Q44" i="6"/>
  <c r="P44" i="6"/>
  <c r="O44" i="6"/>
  <c r="N44" i="6"/>
  <c r="M44" i="6"/>
  <c r="L44" i="6"/>
  <c r="K44" i="6"/>
  <c r="J44" i="6"/>
  <c r="I44" i="6"/>
  <c r="H44" i="6"/>
  <c r="H96" i="6" s="1"/>
  <c r="Q43" i="6"/>
  <c r="P43" i="6"/>
  <c r="O43" i="6"/>
  <c r="N43" i="6"/>
  <c r="M43" i="6"/>
  <c r="L43" i="6"/>
  <c r="K43" i="6"/>
  <c r="J43" i="6"/>
  <c r="I43" i="6"/>
  <c r="H43" i="6"/>
  <c r="Q42" i="6"/>
  <c r="P42" i="6"/>
  <c r="O42" i="6"/>
  <c r="N42" i="6"/>
  <c r="M42" i="6"/>
  <c r="Q39" i="6"/>
  <c r="P39" i="6"/>
  <c r="O39" i="6"/>
  <c r="N39" i="6"/>
  <c r="M39" i="6"/>
  <c r="L39" i="6"/>
  <c r="K39" i="6"/>
  <c r="J39" i="6"/>
  <c r="Q37" i="6"/>
  <c r="P37" i="6"/>
  <c r="O37" i="6"/>
  <c r="N37" i="6"/>
  <c r="M37" i="6"/>
  <c r="L37" i="6"/>
  <c r="K37" i="6"/>
  <c r="J37" i="6"/>
  <c r="Q34" i="6"/>
  <c r="P34" i="6"/>
  <c r="O34" i="6"/>
  <c r="N34" i="6"/>
  <c r="M34" i="6"/>
  <c r="L34" i="6"/>
  <c r="L96" i="6" s="1"/>
  <c r="K34" i="6"/>
  <c r="J34" i="6"/>
  <c r="I34" i="6"/>
  <c r="Q33" i="6"/>
  <c r="P33" i="6"/>
  <c r="O33" i="6"/>
  <c r="N33" i="6"/>
  <c r="M33" i="6"/>
  <c r="L33" i="6"/>
  <c r="K33" i="6"/>
  <c r="K96" i="6" s="1"/>
  <c r="J33" i="6"/>
  <c r="Q29" i="6"/>
  <c r="P29" i="6"/>
  <c r="O29" i="6"/>
  <c r="N29" i="6"/>
  <c r="M29" i="6"/>
  <c r="L29" i="6"/>
  <c r="K29" i="6"/>
  <c r="J29" i="6"/>
  <c r="J96" i="6" s="1"/>
  <c r="I29" i="6"/>
  <c r="I96" i="6" s="1"/>
  <c r="Q21" i="6"/>
  <c r="P21" i="6"/>
  <c r="O21" i="6"/>
  <c r="N21" i="6"/>
  <c r="M21" i="6"/>
  <c r="Q19" i="6"/>
  <c r="P19" i="6"/>
  <c r="P96" i="6" s="1"/>
  <c r="O19" i="6"/>
  <c r="O96" i="6" s="1"/>
  <c r="N19" i="6"/>
  <c r="M19" i="6"/>
  <c r="Q18" i="6"/>
  <c r="P18" i="6"/>
  <c r="O18" i="6"/>
  <c r="N18" i="6"/>
  <c r="M18" i="6"/>
  <c r="Q17" i="6"/>
  <c r="Q96" i="6" s="1"/>
  <c r="P17" i="6"/>
  <c r="O17" i="6"/>
  <c r="N17" i="6"/>
  <c r="M17" i="6"/>
  <c r="Q16" i="6"/>
  <c r="P16" i="6"/>
  <c r="O16" i="6"/>
  <c r="N16" i="6"/>
  <c r="M16" i="6"/>
  <c r="Q15" i="6"/>
  <c r="P15" i="6"/>
  <c r="O15" i="6"/>
  <c r="N15" i="6"/>
  <c r="N96" i="6" s="1"/>
  <c r="M15" i="6"/>
  <c r="M96" i="6" s="1"/>
  <c r="L1" i="6"/>
  <c r="Q107" i="6" l="1"/>
  <c r="N108" i="6"/>
  <c r="N107" i="6"/>
  <c r="L98" i="6"/>
  <c r="O107" i="6"/>
  <c r="O108" i="6"/>
  <c r="P107" i="6"/>
  <c r="M107" i="6"/>
  <c r="L101" i="6"/>
  <c r="Q108" i="6" l="1"/>
  <c r="Q109" i="6" s="1"/>
  <c r="M108" i="6"/>
  <c r="P108" i="6"/>
  <c r="P109" i="6" s="1"/>
  <c r="O109" i="6"/>
  <c r="L112" i="6"/>
  <c r="L100" i="6"/>
  <c r="L104" i="6" s="1"/>
  <c r="L113" i="6"/>
  <c r="N109" i="6"/>
  <c r="L114" i="6" l="1"/>
  <c r="M109" i="6"/>
  <c r="B351" i="5" l="1"/>
  <c r="B348" i="5"/>
  <c r="B336" i="5"/>
  <c r="B337" i="5" s="1"/>
  <c r="B334" i="5"/>
  <c r="B330" i="5"/>
  <c r="B324" i="5"/>
  <c r="B318" i="5"/>
  <c r="B319" i="5" s="1"/>
  <c r="B316" i="5"/>
  <c r="B309" i="5"/>
  <c r="B306" i="5"/>
  <c r="B303" i="5"/>
  <c r="B300" i="5"/>
  <c r="B297" i="5"/>
  <c r="B289" i="5"/>
  <c r="B285" i="5"/>
  <c r="B280" i="5"/>
  <c r="B269" i="5"/>
  <c r="B270" i="5" s="1"/>
  <c r="C18" i="3" s="1"/>
  <c r="B248" i="5"/>
  <c r="B265" i="5" s="1"/>
  <c r="B14" i="3" s="1"/>
  <c r="B206" i="5"/>
  <c r="B21" i="3" s="1"/>
  <c r="B203" i="5"/>
  <c r="B20" i="3" s="1"/>
  <c r="B198" i="5"/>
  <c r="B199" i="5" s="1"/>
  <c r="B9" i="3" s="1"/>
  <c r="B196" i="5"/>
  <c r="B15" i="3" s="1"/>
  <c r="B191" i="5"/>
  <c r="B8" i="3" s="1"/>
  <c r="B105" i="5"/>
  <c r="B7" i="3" s="1"/>
  <c r="B94" i="5"/>
  <c r="B6" i="3" s="1"/>
  <c r="B90" i="5"/>
  <c r="B5" i="3" s="1"/>
  <c r="B86" i="5"/>
  <c r="B4" i="3" s="1"/>
  <c r="B60" i="5"/>
  <c r="C12" i="3" s="1"/>
  <c r="B29" i="5"/>
  <c r="C31" i="3" s="1"/>
  <c r="B24" i="5"/>
  <c r="B23" i="5"/>
  <c r="B22" i="5"/>
  <c r="B20" i="5"/>
  <c r="B12" i="5"/>
  <c r="B26" i="3" s="1"/>
  <c r="B8" i="5"/>
  <c r="B25" i="3" s="1"/>
  <c r="B5" i="5"/>
  <c r="B24" i="3" s="1"/>
  <c r="B25" i="5" l="1"/>
  <c r="B353" i="5"/>
  <c r="B272" i="5" l="1"/>
  <c r="C29" i="3"/>
  <c r="F17" i="1"/>
  <c r="F15" i="1" l="1"/>
  <c r="C39" i="1" s="1"/>
  <c r="C45" i="1" s="1"/>
  <c r="G15" i="1" s="1"/>
  <c r="F13" i="1"/>
  <c r="F8" i="1"/>
  <c r="G8" i="1" s="1"/>
  <c r="F7" i="1"/>
  <c r="G7" i="1" s="1"/>
  <c r="F6" i="1"/>
  <c r="B17" i="1"/>
  <c r="B14" i="1"/>
  <c r="B12" i="1"/>
  <c r="B10" i="1"/>
  <c r="C10" i="1" s="1"/>
  <c r="B9" i="1"/>
  <c r="C9" i="1" s="1"/>
  <c r="B8" i="1"/>
  <c r="C8" i="1" s="1"/>
  <c r="B7" i="1"/>
  <c r="C7" i="1" s="1"/>
  <c r="B6" i="1"/>
  <c r="C6" i="1" s="1"/>
  <c r="G6" i="1" l="1"/>
  <c r="G31" i="1" s="1"/>
  <c r="G28" i="1"/>
  <c r="C33" i="1"/>
  <c r="G17" i="3" l="1"/>
  <c r="C27" i="3"/>
  <c r="C36" i="1" l="1"/>
  <c r="C14" i="1" l="1"/>
  <c r="G30" i="1" s="1"/>
  <c r="C48" i="1"/>
  <c r="C22" i="3" l="1"/>
  <c r="C10" i="3"/>
  <c r="C52" i="1" l="1"/>
  <c r="G13" i="1" s="1"/>
  <c r="G33" i="1" l="1"/>
  <c r="G25" i="3" l="1"/>
  <c r="G31" i="3" s="1"/>
  <c r="C16" i="3" l="1"/>
  <c r="C33" i="3" s="1"/>
  <c r="C25" i="1"/>
  <c r="C30" i="1" s="1"/>
  <c r="C12" i="1" l="1"/>
  <c r="G29" i="1" s="1"/>
  <c r="B19" i="1" l="1"/>
  <c r="G32" i="1" l="1"/>
  <c r="G27" i="1" l="1"/>
  <c r="C19" i="1" l="1"/>
  <c r="G17" i="1" s="1"/>
  <c r="G25" i="1"/>
  <c r="F19" i="1"/>
  <c r="G26" i="1" l="1"/>
  <c r="G34" i="1" s="1"/>
  <c r="G36" i="1" l="1"/>
  <c r="G1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C26" authorId="0" shapeId="0" xr:uid="{82EB3399-3EA8-4F6B-B701-D2E5D96EC7B7}">
      <text>
        <r>
          <rPr>
            <b/>
            <sz val="9"/>
            <color indexed="81"/>
            <rFont val="Tahoma"/>
            <family val="2"/>
          </rPr>
          <t>Saldo ontvangen en afgedragen sponsorgelden Bymyra 2024</t>
        </r>
      </text>
    </comment>
    <comment ref="C27" authorId="0" shapeId="0" xr:uid="{B26805D0-B31C-4DB0-BD7C-DE1B8A0EBC58}">
      <text>
        <r>
          <rPr>
            <b/>
            <sz val="9"/>
            <color indexed="81"/>
            <rFont val="Tahoma"/>
            <family val="2"/>
          </rPr>
          <t>Saldo voedselprogramma</t>
        </r>
      </text>
    </comment>
    <comment ref="C44" authorId="0" shapeId="0" xr:uid="{C285F53F-908F-4410-B4D5-900AC5B811EE}">
      <text>
        <r>
          <rPr>
            <b/>
            <sz val="9"/>
            <color indexed="81"/>
            <rFont val="Tahoma"/>
            <family val="2"/>
          </rPr>
          <t>Vooruitontvangen bedragen sponsoring Gambia en kameroen in 2023 dubbel opgevoerd</t>
        </r>
      </text>
    </comment>
    <comment ref="C50" authorId="0" shapeId="0" xr:uid="{88077FBD-0A7D-4ABE-BE2D-28E4B816B3ED}">
      <text>
        <r>
          <rPr>
            <b/>
            <sz val="9"/>
            <color indexed="81"/>
            <rFont val="Tahoma"/>
            <family val="2"/>
          </rPr>
          <t>Niet uitgekeerd in 2024 van ontvangst in 2024</t>
        </r>
      </text>
    </comment>
    <comment ref="C51" authorId="0" shapeId="0" xr:uid="{C9585F01-4A8C-4D97-88FD-4174A8B9C904}">
      <text>
        <r>
          <rPr>
            <b/>
            <sz val="9"/>
            <color indexed="81"/>
            <rFont val="Tahoma"/>
            <family val="2"/>
          </rPr>
          <t>Verrekening met Bertie: voorgeschoten geld betaald in 2024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B198" authorId="0" shapeId="0" xr:uid="{D86446C1-5A5F-44AF-B176-A41C9FDB075E}">
      <text>
        <r>
          <rPr>
            <b/>
            <sz val="9"/>
            <color indexed="81"/>
            <rFont val="Tahoma"/>
            <family val="2"/>
          </rPr>
          <t>1 banktransactie op 8-4-2024 van € 2.850: hiervan 1.850 lening en 1.000 gift</t>
        </r>
      </text>
    </comment>
    <comment ref="B205" authorId="0" shapeId="0" xr:uid="{C11EE85A-3895-4DAE-8795-D4EA8DC80DB6}">
      <text>
        <r>
          <rPr>
            <b/>
            <sz val="9"/>
            <color indexed="81"/>
            <rFont val="Tahoma"/>
            <family val="2"/>
          </rPr>
          <t>1 banktransactie op 8-4-2024 van € 2.850: hiervan 1.850 lening en 1.000 gift</t>
        </r>
      </text>
    </comment>
    <comment ref="B234" authorId="0" shapeId="0" xr:uid="{5BFD1262-3ED2-4AEC-AAC8-A5DD4C3DE11D}">
      <text>
        <r>
          <rPr>
            <b/>
            <sz val="9"/>
            <color indexed="81"/>
            <rFont val="Tahoma"/>
            <family val="2"/>
          </rPr>
          <t>Betaling in verschillende termijnen, totale sponsoring € 400,- (Keety Zoeten)</t>
        </r>
      </text>
    </comment>
    <comment ref="B248" authorId="0" shapeId="0" xr:uid="{C8EF9CCC-2F99-43DF-BAC5-04351E8548BB}">
      <text>
        <r>
          <rPr>
            <b/>
            <sz val="9"/>
            <color indexed="81"/>
            <rFont val="Tahoma"/>
            <charset val="1"/>
          </rPr>
          <t>1 banktransactie op 2-8-2024 van € 1.900: hiervan 1.330 voor Gambia en 570 voor Kameroen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B252" authorId="0" shapeId="0" xr:uid="{9E0C361A-0D05-4526-9B7E-08EDF16ADCB4}">
      <text>
        <r>
          <rPr>
            <b/>
            <sz val="9"/>
            <color indexed="81"/>
            <rFont val="Tahoma"/>
            <family val="2"/>
          </rPr>
          <t>Betaling in verschillende termijnen, totale sponsoring € 400,- (Keety Zoeten)</t>
        </r>
      </text>
    </comment>
    <comment ref="B264" authorId="0" shapeId="0" xr:uid="{3E982196-5124-46B8-B122-8F22BD6328F3}">
      <text>
        <r>
          <rPr>
            <b/>
            <sz val="9"/>
            <color indexed="81"/>
            <rFont val="Tahoma"/>
            <family val="2"/>
          </rPr>
          <t>Betaling in verschillende termijnen, totale sponsoring € 400,- (Keety Zoeten)</t>
        </r>
      </text>
    </comment>
    <comment ref="B269" authorId="0" shapeId="0" xr:uid="{7174FEDF-9444-42DB-972A-ECAB25BDEA5F}">
      <text>
        <r>
          <rPr>
            <b/>
            <sz val="9"/>
            <color indexed="81"/>
            <rFont val="Tahoma"/>
            <charset val="1"/>
          </rPr>
          <t>2-8-2024 van € 1.900: hiervan 1.330 voor Gambia en 570 voor Kameroen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  <author>Adri Hofenk</author>
  </authors>
  <commentList>
    <comment ref="A14" authorId="0" shapeId="0" xr:uid="{2DE4F058-9315-4D55-A21D-B8AADD7479C4}">
      <text>
        <r>
          <rPr>
            <b/>
            <sz val="9"/>
            <color indexed="81"/>
            <rFont val="Tahoma"/>
            <family val="2"/>
          </rPr>
          <t>In 2021 is er betaald voor 2021 - 2024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4" authorId="1" shapeId="0" xr:uid="{D26026F2-49F3-42D7-BEFE-C9AF4762C742}">
      <text>
        <r>
          <rPr>
            <b/>
            <sz val="9"/>
            <color indexed="81"/>
            <rFont val="Tahoma"/>
            <family val="2"/>
          </rPr>
          <t>Van Ilse 190,- en van H.C. Rutgers ook 190,-</t>
        </r>
      </text>
    </comment>
    <comment ref="A77" authorId="0" shapeId="0" xr:uid="{89883E97-E097-4724-84EA-D9F45668A26B}">
      <text>
        <r>
          <rPr>
            <b/>
            <sz val="9"/>
            <color indexed="81"/>
            <rFont val="Tahoma"/>
            <family val="2"/>
          </rPr>
          <t>In 2021 betaald 1.000 euro voor 5 jaar schoolgeld, dus 50 euro extra</t>
        </r>
      </text>
    </comment>
    <comment ref="A85" authorId="1" shapeId="0" xr:uid="{81486D89-1880-40BC-9C70-E10A01F043AF}">
      <text>
        <r>
          <rPr>
            <b/>
            <sz val="9"/>
            <color indexed="81"/>
            <rFont val="Tahoma"/>
            <family val="2"/>
          </rPr>
          <t>Samen met Raats sponsoring van 1 kind voor 380 euro</t>
        </r>
      </text>
    </comment>
    <comment ref="A86" authorId="1" shapeId="0" xr:uid="{60F409F5-FC06-408F-974D-9352AF6C567B}">
      <text>
        <r>
          <rPr>
            <b/>
            <sz val="9"/>
            <color indexed="81"/>
            <rFont val="Tahoma"/>
            <family val="2"/>
          </rPr>
          <t>Samen met Gerritsen sponsoring van 1 kind voor 380 euro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94" authorId="0" shapeId="0" xr:uid="{9DDD0676-7E05-4E47-A735-11F728E96AA6}">
      <text>
        <r>
          <rPr>
            <b/>
            <sz val="9"/>
            <color indexed="81"/>
            <rFont val="Tahoma"/>
            <family val="2"/>
          </rPr>
          <t>Dit bedrag bestaat uit € 500,- via Daan van der Weele en € 500,- via Human Connection</t>
        </r>
      </text>
    </comment>
    <comment ref="L102" authorId="0" shapeId="0" xr:uid="{F6F46D36-79E1-4871-B999-3A9E16672BDE}">
      <text>
        <r>
          <rPr>
            <b/>
            <sz val="9"/>
            <color indexed="81"/>
            <rFont val="Tahoma"/>
            <family val="2"/>
          </rPr>
          <t>S.M. Kaspers éénmalig te besteden aan sponsoring (valutadatum 3-5-2024)</t>
        </r>
      </text>
    </comment>
    <comment ref="L103" authorId="0" shapeId="0" xr:uid="{4A73A04D-A2CF-47A4-A16B-8B4B250E088F}">
      <text>
        <r>
          <rPr>
            <b/>
            <sz val="9"/>
            <color indexed="81"/>
            <rFont val="Tahoma"/>
            <family val="2"/>
          </rPr>
          <t>In 2024 ontvangen voor sponsoring over 2023</t>
        </r>
      </text>
    </comment>
    <comment ref="L104" authorId="0" shapeId="0" xr:uid="{7A39F60E-DB17-4586-98AD-1B5931219E3D}">
      <text>
        <r>
          <rPr>
            <b/>
            <sz val="9"/>
            <color indexed="81"/>
            <rFont val="Tahoma"/>
            <family val="2"/>
          </rPr>
          <t>Klopt met mutatie Triodos 2024 voor deze donaties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Hofenk, Adri</author>
  </authors>
  <commentList>
    <comment ref="A4" authorId="0" shapeId="0" xr:uid="{8ACBF9C1-CE02-4337-B2A8-87C34F84D935}">
      <text>
        <r>
          <rPr>
            <b/>
            <sz val="9"/>
            <color indexed="81"/>
            <rFont val="Tahoma"/>
            <family val="2"/>
          </rPr>
          <t>In totaal bedrag van 1.900 euro gestort door Frans (valutadatum 2-8-2024)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E99DD7B0-B370-47F9-B25A-1CEF61669C53}">
      <text>
        <r>
          <rPr>
            <b/>
            <sz val="9"/>
            <color indexed="81"/>
            <rFont val="Tahoma"/>
            <family val="2"/>
          </rPr>
          <t>In totaal bedrag van 1.900 euro gestort door Frans (valutadatum 2-8-2024)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8" authorId="0" shapeId="0" xr:uid="{53109671-15CE-4784-99A9-689574D586BC}">
      <text>
        <r>
          <rPr>
            <b/>
            <sz val="9"/>
            <color indexed="81"/>
            <rFont val="Tahoma"/>
            <family val="2"/>
          </rPr>
          <t>In 2021 is 350 euro betaald, nog 30 euro tegoed tbv 2021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<sst xmlns="http://schemas.openxmlformats.org/spreadsheetml/2006/main" count="1556" uniqueCount="567">
  <si>
    <t>ACTIVA</t>
  </si>
  <si>
    <t>PASSIVA</t>
  </si>
  <si>
    <t>Herkomst</t>
  </si>
  <si>
    <t>Subtotaal giften/donaties</t>
  </si>
  <si>
    <t>Financiële vaste activa</t>
  </si>
  <si>
    <t>Liquide middelen</t>
  </si>
  <si>
    <t>Eigen vermogen</t>
  </si>
  <si>
    <t>Langlopende verplichtingen</t>
  </si>
  <si>
    <t>Besteding</t>
  </si>
  <si>
    <t>Uitgaande geldstromen</t>
  </si>
  <si>
    <t>Eindsaldo eigen vermogen</t>
  </si>
  <si>
    <t>Inkomende geldstromen</t>
  </si>
  <si>
    <t>Beginsaldo eigen vermogen</t>
  </si>
  <si>
    <t>Triodos Internet Zaken Rekening</t>
  </si>
  <si>
    <t>Vooruitontvangen bedragen</t>
  </si>
  <si>
    <t>Mutatie eigen vermogen</t>
  </si>
  <si>
    <t>Subtotaal geoormerkte giften/donaties</t>
  </si>
  <si>
    <t>Mutatie passiva (vooruitontvangen bedragen)</t>
  </si>
  <si>
    <t>Nog te ontvangen bedragen</t>
  </si>
  <si>
    <t>Eindsaldo vooruitontvangen bedragen</t>
  </si>
  <si>
    <t>Beginsaldo</t>
  </si>
  <si>
    <t>Eindsaldo nog te ontvangen bedragen</t>
  </si>
  <si>
    <t>Kosten bedrijfsvoering</t>
  </si>
  <si>
    <t>Bankkosten</t>
  </si>
  <si>
    <t>Giften/donaties algemeen</t>
  </si>
  <si>
    <t>Boekdatum</t>
  </si>
  <si>
    <t>Bedrag</t>
  </si>
  <si>
    <t>D/C</t>
  </si>
  <si>
    <t>Naam tegenrekening</t>
  </si>
  <si>
    <t>Omschrijving</t>
  </si>
  <si>
    <t>Credit</t>
  </si>
  <si>
    <t>S.M. Kaspers</t>
  </si>
  <si>
    <t>Gift/donatie</t>
  </si>
  <si>
    <t>kwartaaldonatie</t>
  </si>
  <si>
    <t>F.M. Jacobs</t>
  </si>
  <si>
    <t>W.M. Hauptmeijer</t>
  </si>
  <si>
    <t>Hr PA Backx</t>
  </si>
  <si>
    <t>WOUTER LANGELER</t>
  </si>
  <si>
    <t>Hr GM Hendriks</t>
  </si>
  <si>
    <t>W.A. Hofenk</t>
  </si>
  <si>
    <t>H B GELS</t>
  </si>
  <si>
    <t>H. Roelofsen</t>
  </si>
  <si>
    <t>A. Gerritsen</t>
  </si>
  <si>
    <t>C DRIJVER</t>
  </si>
  <si>
    <t>GELS INTERIM BV</t>
  </si>
  <si>
    <t>F POST EN JM POST</t>
  </si>
  <si>
    <t>J.H.H.M. Bakker</t>
  </si>
  <si>
    <t>C.F. Oelmeijer e/o I.C. Besaris</t>
  </si>
  <si>
    <t>B.D. Lucas eo R.F. Lucas-Zwartjes</t>
  </si>
  <si>
    <t>Hr M Welling, Mw MPT Donkers</t>
  </si>
  <si>
    <t>Sponsoring Bymyra</t>
  </si>
  <si>
    <t>Mw M F L L Geelen en/of Hr H L M van Middelaar</t>
  </si>
  <si>
    <t>Sponsorkind Gambia</t>
  </si>
  <si>
    <t>J.S. Scheltes e/o R. Leopold</t>
  </si>
  <si>
    <t>sponsorship leerling van de Bymyra Bilingual School Gambia</t>
  </si>
  <si>
    <t>E.E. Eggink e/o M.V. de Vlugt</t>
  </si>
  <si>
    <t>5jr sponsoring Bymyra bilingual school Gambia</t>
  </si>
  <si>
    <t>Mw A M C Vesseur</t>
  </si>
  <si>
    <t>E PONZETTI</t>
  </si>
  <si>
    <t>H. Croon eo M. Nieuwland</t>
  </si>
  <si>
    <t>Bijdrage schoolgeld Bymyra Bilingual School in Gambia</t>
  </si>
  <si>
    <t>Sponsorship Gambia</t>
  </si>
  <si>
    <t>Hr W P M Kaizer e/o Mw E J S van Aalst</t>
  </si>
  <si>
    <t>sponsorship Gambia jaarlijkse bijdrage</t>
  </si>
  <si>
    <t>Sponsor kind Gambia</t>
  </si>
  <si>
    <t>Sponsoring kind Gambia</t>
  </si>
  <si>
    <t>schoolgeld Gambia</t>
  </si>
  <si>
    <t>sponsorkind 2 jaarlijks tm aug 2024</t>
  </si>
  <si>
    <t>Philip Backx Consultancy</t>
  </si>
  <si>
    <t>Sponsoring twee kinderen Gambia</t>
  </si>
  <si>
    <t>P.E.A. Bootz</t>
  </si>
  <si>
    <t>A.J.B. Wopereis eo A.G. Wopereis-Br</t>
  </si>
  <si>
    <t>G.J.A. Wijgman en/of W.M Wijgman-Ti</t>
  </si>
  <si>
    <t>Mw O de Bruijn</t>
  </si>
  <si>
    <t>sponsorship Gambia</t>
  </si>
  <si>
    <t>I M VD JAGT</t>
  </si>
  <si>
    <t>J.F.C. Bos eo J.J.M. Willems</t>
  </si>
  <si>
    <t>Briljan</t>
  </si>
  <si>
    <t>Hr J G J M Vaes</t>
  </si>
  <si>
    <t>Deelname 2020</t>
  </si>
  <si>
    <t>J.J.A. Tirion eo</t>
  </si>
  <si>
    <t>Gift voor Bymyra Bilingual School</t>
  </si>
  <si>
    <t>B.M. Janssen</t>
  </si>
  <si>
    <t>Sponsoring schoolkinderen Kameroen</t>
  </si>
  <si>
    <t>HTM TEN BERG</t>
  </si>
  <si>
    <t>Credit totaal</t>
  </si>
  <si>
    <t>Debet</t>
  </si>
  <si>
    <t>G.M.Hendriks</t>
  </si>
  <si>
    <t>Haicu Webdesign</t>
  </si>
  <si>
    <t>Greenhost</t>
  </si>
  <si>
    <t>Projectkosten</t>
  </si>
  <si>
    <t>Debet totaal</t>
  </si>
  <si>
    <t>Subtotaal sponsoring Bymyra school Gambia</t>
  </si>
  <si>
    <t>Periodieke sponsoring Bymyra</t>
  </si>
  <si>
    <t>Subtotaal leningen o/g</t>
  </si>
  <si>
    <t>Lening u/g tailorshop Effie</t>
  </si>
  <si>
    <t>Lening u/g project champignons de Foumbot</t>
  </si>
  <si>
    <t>Lening u/g Tunbung Village</t>
  </si>
  <si>
    <t>Naam</t>
  </si>
  <si>
    <t>Datum start</t>
  </si>
  <si>
    <t>Looptijd</t>
  </si>
  <si>
    <t>Opmerkingen</t>
  </si>
  <si>
    <t>Frans Jacobs</t>
  </si>
  <si>
    <t xml:space="preserve"> 01-09-2021</t>
  </si>
  <si>
    <t>5 jaar</t>
  </si>
  <si>
    <t>Kameroen Werkt (sponsor nog in te vullen)</t>
  </si>
  <si>
    <t>Bettie (B.M.) Janssen</t>
  </si>
  <si>
    <t>Kameroen Werkt (donaties twins)</t>
  </si>
  <si>
    <t>Nog te betalen bedragen</t>
  </si>
  <si>
    <t>OVERZICHT SPONSOREN BYMYRA BILINGUAL SCHOOL</t>
  </si>
  <si>
    <t>Kameroen Werkt / Bertie</t>
  </si>
  <si>
    <t xml:space="preserve"> 01-01-2017</t>
  </si>
  <si>
    <t>Geld in totaal vooraf ontvangen</t>
  </si>
  <si>
    <t>Kameroen Werkt / De Hoop stichting</t>
  </si>
  <si>
    <t xml:space="preserve"> 01-09-2019</t>
  </si>
  <si>
    <t>Annemiek Luken - Pauw</t>
  </si>
  <si>
    <t xml:space="preserve"> 01-09-2020</t>
  </si>
  <si>
    <t>Max Welling / Marga Donkers</t>
  </si>
  <si>
    <t>Marcel Bierings</t>
  </si>
  <si>
    <t>Adri Hofenk</t>
  </si>
  <si>
    <t>Wim Kaizer</t>
  </si>
  <si>
    <t>Mirjam / KW / Rajahmundry</t>
  </si>
  <si>
    <t>Jobine van ‘t Westeinde</t>
  </si>
  <si>
    <t>Roos Leopold / Julien Scheltes</t>
  </si>
  <si>
    <t>Wouter Langerer</t>
  </si>
  <si>
    <t>Sjaak Vaes</t>
  </si>
  <si>
    <t>Jan Schepers (BrilJan)</t>
  </si>
  <si>
    <t>Marlet Hesselink</t>
  </si>
  <si>
    <t>Henk Croon</t>
  </si>
  <si>
    <t>Inge Zwitserlood / Ruud Bakhuizen</t>
  </si>
  <si>
    <t>Annemieke Vesseur</t>
  </si>
  <si>
    <t>Mirjam Tirion</t>
  </si>
  <si>
    <t>Frederieke / Elena Ponzetti / Jesse</t>
  </si>
  <si>
    <t>Bertie / Maria Hendriks</t>
  </si>
  <si>
    <t>Frans Jacobs / KW</t>
  </si>
  <si>
    <t>Inge Besaris</t>
  </si>
  <si>
    <t>Max Welling / Marga Donkers / KW</t>
  </si>
  <si>
    <t>Max Welling / Marga D. / Herman Gels / KW</t>
  </si>
  <si>
    <t>Tom van der Linde</t>
  </si>
  <si>
    <t>Paul Kelder</t>
  </si>
  <si>
    <t>Hans /Arianne Wopereis</t>
  </si>
  <si>
    <t>Marion Ligthart Schenk (Teegelbeckers)</t>
  </si>
  <si>
    <t>Janneke Bakker</t>
  </si>
  <si>
    <t>Reyke Zwartjes (Lucas)</t>
  </si>
  <si>
    <t>Stella (S.M.) Kaspers</t>
  </si>
  <si>
    <t>Henri en Maria Middelaar</t>
  </si>
  <si>
    <t>Douwe en Tjallie de Boer</t>
  </si>
  <si>
    <t>Philip Backx</t>
  </si>
  <si>
    <t>Peter Bootz</t>
  </si>
  <si>
    <t>Wietske Wijgman</t>
  </si>
  <si>
    <t>Floris Buter</t>
  </si>
  <si>
    <t>Ilse van der Jagt</t>
  </si>
  <si>
    <t xml:space="preserve"> 01-01-2022</t>
  </si>
  <si>
    <t>Odile de Bruin</t>
  </si>
  <si>
    <t>M. en A. Ouwehand (Monaire B.V.)</t>
  </si>
  <si>
    <t>Vooruit ontvangen bedragen</t>
  </si>
  <si>
    <t>Extra ontvangsten geoormerkt voor Bymyra</t>
  </si>
  <si>
    <t>Nog te onvangen sponsorgeld</t>
  </si>
  <si>
    <t>Vooruit ontvangen sponsorgeld</t>
  </si>
  <si>
    <t>Afboeking vooruitontvangen bedragen</t>
  </si>
  <si>
    <t>Mutatie activa (leningen u/g)</t>
  </si>
  <si>
    <t>Mutatie passiva (nog te betalen bedragen)</t>
  </si>
  <si>
    <t>Vooruitbetaalde bedragen</t>
  </si>
  <si>
    <t>Categorie</t>
  </si>
  <si>
    <t>Extra bijdrage voor Oumie en Jarra (of wie het nodig heeft)</t>
  </si>
  <si>
    <t>UK ONLINE GIVING FOUNDATION</t>
  </si>
  <si>
    <t>Stichting Do &amp; Well</t>
  </si>
  <si>
    <t>S VAN LIESHOUT</t>
  </si>
  <si>
    <t>Rijst</t>
  </si>
  <si>
    <t>Mw EM Beekwilder</t>
  </si>
  <si>
    <t>M.J. Mentink</t>
  </si>
  <si>
    <t>CJI RAATS CJ</t>
  </si>
  <si>
    <t>S.F. Karman</t>
  </si>
  <si>
    <t>De heer H Verburg jr</t>
  </si>
  <si>
    <t>T. Dijkstra e/o A.C.M. Dijkzeul</t>
  </si>
  <si>
    <t>J.C.M. Farla</t>
  </si>
  <si>
    <t>R S A TEEUWEN</t>
  </si>
  <si>
    <t>P H J M SCHOUTEN CJ</t>
  </si>
  <si>
    <t>Y.A. Jacobs e/o F.G.B. Wouters</t>
  </si>
  <si>
    <t>R.L.E. van Nifterick</t>
  </si>
  <si>
    <t>H.C.M.M. Geerts-Nolet</t>
  </si>
  <si>
    <t>Hr OD de Loor</t>
  </si>
  <si>
    <t>Sponsorship Gambia 3e kind</t>
  </si>
  <si>
    <t>Jaarlijkse storting Cardi Bos en Judith Willems sponsorship Gambia</t>
  </si>
  <si>
    <t>Sponsorship Gambia wijgman</t>
  </si>
  <si>
    <t>Mw MA Ligthart Schenk,Hr JT Teegelb</t>
  </si>
  <si>
    <t>Sonsorship</t>
  </si>
  <si>
    <t>Mw LPM Arends-van Uffelen, Hr B Arends</t>
  </si>
  <si>
    <t>jaarlijkse donatie</t>
  </si>
  <si>
    <t>H.C. Rutgers</t>
  </si>
  <si>
    <t>Periodieke gift</t>
  </si>
  <si>
    <t>KAREN LUCAS</t>
  </si>
  <si>
    <t>Sponsoring Bymyra (Kameroen)</t>
  </si>
  <si>
    <t>Donatie</t>
  </si>
  <si>
    <t>GM Hendriks</t>
  </si>
  <si>
    <t>Donatie (vocational education)</t>
  </si>
  <si>
    <t>Stichting Container Hulpgoederen na</t>
  </si>
  <si>
    <t>Esther Eggink / Maarten de Vlugt</t>
  </si>
  <si>
    <t>Karen Lucas</t>
  </si>
  <si>
    <t>Herman Gels</t>
  </si>
  <si>
    <t>Arends (Bert en Loes)</t>
  </si>
  <si>
    <t>OVERZICHT SPONSOREN KAMEROEN FOMBOUT</t>
  </si>
  <si>
    <t>Nog te betalen 2023 - 2025</t>
  </si>
  <si>
    <t>Nog te betalen 2021</t>
  </si>
  <si>
    <t>Aflossing lening u/g Tunbung Village</t>
  </si>
  <si>
    <t>Subtotaal leningen u/g</t>
  </si>
  <si>
    <t>Eindsaldo nog te betalen bedragen</t>
  </si>
  <si>
    <t>OPMERKINGEN BIJ DE BALANS</t>
  </si>
  <si>
    <t>Mutatie activa (vooruitbetaalde bedragen)</t>
  </si>
  <si>
    <t>Mutatie passiva (leningen o/g)</t>
  </si>
  <si>
    <t>Lening u/g taxi Musa Taal</t>
  </si>
  <si>
    <t>Lening o/g De Bruijn (taxi Musa Taal)</t>
  </si>
  <si>
    <t>Lening o/g Bos eo Willems (taxi Musa Taal)</t>
  </si>
  <si>
    <t>Lening o/g (huis Effie)</t>
  </si>
  <si>
    <t>Donaties project Rijst voor Kerst</t>
  </si>
  <si>
    <t>Lening o/g B.M. Janssen (huis Effie)</t>
  </si>
  <si>
    <t>Lening u/g huis Effie</t>
  </si>
  <si>
    <t>Donaties experts/teachers vocational education</t>
  </si>
  <si>
    <t>Eindsaldo vooruitbetaalde bedragen</t>
  </si>
  <si>
    <t>E.M. Beekwilder</t>
  </si>
  <si>
    <t>C.J.I. Raats</t>
  </si>
  <si>
    <t xml:space="preserve"> 01-09-2023</t>
  </si>
  <si>
    <t>Aflossing lening u/g (champignons Foumbot)</t>
  </si>
  <si>
    <t>Terugbetaling lening Yafatou</t>
  </si>
  <si>
    <t>De heer H.D. Sneep e/o mevrouw K.K.</t>
  </si>
  <si>
    <t>Bijdrage 2023</t>
  </si>
  <si>
    <t>HJW Modijefsky</t>
  </si>
  <si>
    <t>donatie</t>
  </si>
  <si>
    <t>A.R. Soesman</t>
  </si>
  <si>
    <t>Gift/donatie (huis Effie)</t>
  </si>
  <si>
    <t>Mw M F L L Geelen en/ofHr H L M van</t>
  </si>
  <si>
    <t>Ondersteuning Effie</t>
  </si>
  <si>
    <t>Schenking Effie</t>
  </si>
  <si>
    <t>Gift/donatie (rijst voor Kerst)</t>
  </si>
  <si>
    <t>Mw LPM Arends-van Uffelen, Hr B Are</t>
  </si>
  <si>
    <t>Zak rijst</t>
  </si>
  <si>
    <t>C. Rietveld</t>
  </si>
  <si>
    <t>Zak rijst gambia</t>
  </si>
  <si>
    <t>Hr C Verzijl</t>
  </si>
  <si>
    <t>Hr HN Hoefnagel,Mw SH van Woudenber</t>
  </si>
  <si>
    <t>EB TER HOEVEN</t>
  </si>
  <si>
    <t>rijst</t>
  </si>
  <si>
    <t>Lunch programma school Gambia</t>
  </si>
  <si>
    <t>Gift/donatie (voedselprogramma 3)</t>
  </si>
  <si>
    <t>Sponsorkund</t>
  </si>
  <si>
    <t>sponsorkind</t>
  </si>
  <si>
    <t>Sponsoring Bymyra school ANBI</t>
  </si>
  <si>
    <t>Paul Kelder Consultancy B.V.</t>
  </si>
  <si>
    <t>Jaarlijkse gift kind/ jongere Kameroen (5jr)</t>
  </si>
  <si>
    <t>Check</t>
  </si>
  <si>
    <t>Donatie (rijst voor Kerst)</t>
  </si>
  <si>
    <t>H.B. Gels</t>
  </si>
  <si>
    <t>Donatie (voedselprogramma 3)</t>
  </si>
  <si>
    <t>Lening u/g (huis Effie)</t>
  </si>
  <si>
    <t>Gift/donatie voedselprogramma</t>
  </si>
  <si>
    <t>Subtotaal aflossing lening u/g</t>
  </si>
  <si>
    <t>Financiële transactie (foutieve boeking)</t>
  </si>
  <si>
    <t>Financiële transacties</t>
  </si>
  <si>
    <t>Voedselprogramma Bymyra school Gambia</t>
  </si>
  <si>
    <t>Mutatie activa (nog te ontvangen bedragen)</t>
  </si>
  <si>
    <t>BALANS PER 31-12-2024 STICHTING KAMEROEN WERKT!</t>
  </si>
  <si>
    <t>01-01-2024</t>
  </si>
  <si>
    <t>31-12-2024</t>
  </si>
  <si>
    <t>TOELICHTING BIJ DE BALANS 2024</t>
  </si>
  <si>
    <t>Tweede terugbetaling project Biologische champignons Kameroen</t>
  </si>
  <si>
    <t>Tergbetaling lening Fatou Sanneh aan Kw cash door Fatou aan Bertie gegeven</t>
  </si>
  <si>
    <t>Betaling Jafatu</t>
  </si>
  <si>
    <t>ACJ Hellemans-van der Laan</t>
  </si>
  <si>
    <t>Terugbetaling lening Yafatou tunbung village</t>
  </si>
  <si>
    <t>M. Scheepstra</t>
  </si>
  <si>
    <t>Terugbetaling lening yafatou tunbung village</t>
  </si>
  <si>
    <t>Bijdrage reis Hart van Afrika</t>
  </si>
  <si>
    <t>Terugbetaling lening Yafatou Tunbung Village</t>
  </si>
  <si>
    <t>Terugbetaling lening Yafatou TunbungVillage</t>
  </si>
  <si>
    <t>Terugbetaling Lening Yafatou Tungbung Village</t>
  </si>
  <si>
    <t>Mw SF Schwab</t>
  </si>
  <si>
    <t>Terugbetaling lening Yafatou. Tunbung</t>
  </si>
  <si>
    <t>R. Wielage en/of N.G.M.M</t>
  </si>
  <si>
    <t>Transport, rijst, simcard en verblijf voor roland en nicole</t>
  </si>
  <si>
    <t>Transport, rijst, wisselgeld, simcard en verblijf</t>
  </si>
  <si>
    <t>Hr RFC Koop</t>
  </si>
  <si>
    <t>rene koop. Gambiareis 7-17 februari.  400 wisselen,  70 vervoer, 220 verblijf, 45 rijst.</t>
  </si>
  <si>
    <t>transport, rijst, simcard en verblijf 6 personen (Sneep, Groenveld, vd Wiel, Houweling)</t>
  </si>
  <si>
    <t>Terugstorting van verkeerd overgemaakt geld naar C Hendriks</t>
  </si>
  <si>
    <t>Bartosz Kaszuba</t>
  </si>
  <si>
    <t>Sponsoring of 2 children out of school Bymyra bilingual in Gambia</t>
  </si>
  <si>
    <t>P. Loef</t>
  </si>
  <si>
    <t>Voor het Werk</t>
  </si>
  <si>
    <t>STONEX FINANCIAL LIMITED BOA GBP P</t>
  </si>
  <si>
    <t>UK ONLINE GIVING FOUNDATION DONATION DISBURSEMENT ID: CGKKJPPHX5 [OTHR]</t>
  </si>
  <si>
    <t>Donation from UKOGF causes.benevity.org - ELMBU7SQT1</t>
  </si>
  <si>
    <t>Bijdrage 2024</t>
  </si>
  <si>
    <t>L.M. Nolet</t>
  </si>
  <si>
    <t>Met dank, en veel succes</t>
  </si>
  <si>
    <t>G.A. Hartman</t>
  </si>
  <si>
    <t>Jaarlijkse donatie, groet Ted</t>
  </si>
  <si>
    <t>Voor dat wat nodig is</t>
  </si>
  <si>
    <t>onkosten container</t>
  </si>
  <si>
    <t>A.A.C. Kleintjens</t>
  </si>
  <si>
    <t>FDS PREDIKD DOOPSGEZ GEM</t>
  </si>
  <si>
    <t>M VAN ESSEN CJ</t>
  </si>
  <si>
    <t>Droomuitleg</t>
  </si>
  <si>
    <t>Gift/donatie (bus Bymyra)</t>
  </si>
  <si>
    <t>Mw HM de Ruijter,Hr A Spek</t>
  </si>
  <si>
    <t>Project Bymyra School</t>
  </si>
  <si>
    <t>Hr AR van der Wiel</t>
  </si>
  <si>
    <t>donatie huib is jarig</t>
  </si>
  <si>
    <t>Hr JD Renes,Mw MM Renes-Greenshield</t>
  </si>
  <si>
    <t>Gift april 2024</t>
  </si>
  <si>
    <t>S.F. Schwab e/o H.B. Gels</t>
  </si>
  <si>
    <t>Cadeau voor Huib zijn 65e verjaardag</t>
  </si>
  <si>
    <t>Hr J Houweling</t>
  </si>
  <si>
    <t>namens Huib Sneep voor z'n verjaardag tbv Bymyra school</t>
  </si>
  <si>
    <t>Hr W Vis,Mw WM Vis-Houweling</t>
  </si>
  <si>
    <t>verjaardag Huib voor Bymyra school Gambia</t>
  </si>
  <si>
    <t>Mw S Loch-Ramjiawan,Hr RJM Loch</t>
  </si>
  <si>
    <t>St Derdeng Online fonds</t>
  </si>
  <si>
    <t>20000774/24100567</t>
  </si>
  <si>
    <t>C.J. Visser eo A.S. van Hengel</t>
  </si>
  <si>
    <t>Donatie ivm verjaardag Huib Sneep</t>
  </si>
  <si>
    <t>A S BIERHUIZEN</t>
  </si>
  <si>
    <t>kado / gift Huib 65</t>
  </si>
  <si>
    <t>LA RUYS CJ</t>
  </si>
  <si>
    <t>kado Huib 65</t>
  </si>
  <si>
    <t>RF VAN DER VEEN CJ</t>
  </si>
  <si>
    <t>Verjaardag Huib Sneep</t>
  </si>
  <si>
    <t>WUBS J W</t>
  </si>
  <si>
    <t>donatie ivm Huib 65</t>
  </si>
  <si>
    <t>R P HOEKWATER</t>
  </si>
  <si>
    <t>Eenmalige donatie ANBI Stichting</t>
  </si>
  <si>
    <t>WATER P J J VAN DE CJ</t>
  </si>
  <si>
    <t>Donatie als cadeau aan Huib Sneep</t>
  </si>
  <si>
    <t>Mevr J P A de Wolff-Taris</t>
  </si>
  <si>
    <t>Busje voor Bymyra</t>
  </si>
  <si>
    <t>Marlies van Beek</t>
  </si>
  <si>
    <t>Dank voor dinsdag!</t>
  </si>
  <si>
    <t>Mw S M Tellier</t>
  </si>
  <si>
    <t>gift van Bertie en Maria voor busje beroepsonderwijs Bymyra</t>
  </si>
  <si>
    <t>20000774/24100469</t>
  </si>
  <si>
    <t>gift voor Bymyra school ivm feest Huib</t>
  </si>
  <si>
    <t>Hr D van der Weele</t>
  </si>
  <si>
    <t>gift bus beroepsonderwijs Bymyra</t>
  </si>
  <si>
    <t>20000774/24100346</t>
  </si>
  <si>
    <t>minibus voor bymyra school Gambia</t>
  </si>
  <si>
    <t>Ziektekosten Liliska</t>
  </si>
  <si>
    <t>Gift/donatie (Lilishka ziektekosten)</t>
  </si>
  <si>
    <t>S. Veenendaal</t>
  </si>
  <si>
    <t>Lilishka</t>
  </si>
  <si>
    <t>Extra donatie Cardi en Judith nav bijeenkomst donderdag 26 september 2024</t>
  </si>
  <si>
    <t>Gift/donatie (reiskosten Ida en Abdulie)</t>
  </si>
  <si>
    <t>Reiskosten Ida en Abdoelie</t>
  </si>
  <si>
    <t>Mw E ten Boekel</t>
  </si>
  <si>
    <t>Bijdrage reiskosten Ida en Abdulie</t>
  </si>
  <si>
    <t>Mw L Doesburg, Hr SDM van der Kalle</t>
  </si>
  <si>
    <t>Reiskosten Ida en Abdulie</t>
  </si>
  <si>
    <t>A.H. Swieringa</t>
  </si>
  <si>
    <t>reiskosten Ida en Abdulie</t>
  </si>
  <si>
    <t>A VAN BERKEL</t>
  </si>
  <si>
    <t>bijdrage reiskosten Ida en Abdulie</t>
  </si>
  <si>
    <t>C J I RAATS</t>
  </si>
  <si>
    <t>Bijdrage reiskosten Ida en Abdulai</t>
  </si>
  <si>
    <t>1 zak rijst</t>
  </si>
  <si>
    <t>Nog een zak rijst</t>
  </si>
  <si>
    <t>Zak reist</t>
  </si>
  <si>
    <t>B.T.M.J. Thunnissen</t>
  </si>
  <si>
    <t>B.W.H.J. Lubbers</t>
  </si>
  <si>
    <t>Zak Rijst</t>
  </si>
  <si>
    <t>Kees Blase</t>
  </si>
  <si>
    <t>Hr JA Ahling</t>
  </si>
  <si>
    <t>zak rijst</t>
  </si>
  <si>
    <t>B G T VERSTEIJLEN</t>
  </si>
  <si>
    <t>J.M.J. Schoone e/o I.C.D.M. Sleeger</t>
  </si>
  <si>
    <t>Zak rijst voor Gambia</t>
  </si>
  <si>
    <t>Mw IHM van der Velden</t>
  </si>
  <si>
    <t>zak rijst, groet en liefs van irma</t>
  </si>
  <si>
    <t>A.G. van der Linde</t>
  </si>
  <si>
    <t>R HARDER CJ</t>
  </si>
  <si>
    <t>Hr J B Boelens e/oMw A J M Q Smid</t>
  </si>
  <si>
    <t>Annelies Bretveld Feng Shui</t>
  </si>
  <si>
    <t>D.F.A. Bijleveld</t>
  </si>
  <si>
    <t>A.C. Oldenziel</t>
  </si>
  <si>
    <t>EM WEERTS</t>
  </si>
  <si>
    <t>Mw Y van Dijk</t>
  </si>
  <si>
    <t>zak rijst kerst 2024</t>
  </si>
  <si>
    <t>M.A.J. Busschots</t>
  </si>
  <si>
    <t>Zak rijst voor de kerst</t>
  </si>
  <si>
    <t>zak rijst voor kerstmis</t>
  </si>
  <si>
    <t>Donatie stichting KameroenWerkt - zak rijst</t>
  </si>
  <si>
    <t>C.M. van der Voort</t>
  </si>
  <si>
    <t>Hr CPJM Govers, Mw PI Brun</t>
  </si>
  <si>
    <t>JM BOEREBOOM</t>
  </si>
  <si>
    <t>Mw JM Rohde</t>
  </si>
  <si>
    <t>Mw M J Duijs-Bomhof</t>
  </si>
  <si>
    <t>T. Hoetjer</t>
  </si>
  <si>
    <t>J.W.L. Wijsbek</t>
  </si>
  <si>
    <t>J. Schepers e/o I.M. Schepers-Luken</t>
  </si>
  <si>
    <t>Mw B A Stevens</t>
  </si>
  <si>
    <t>Mw A M Oude Veldhuis en/ofHr B Wild</t>
  </si>
  <si>
    <t>G.E. van Donselaar</t>
  </si>
  <si>
    <t>SCHAERLAECKEN - CLINCKART</t>
  </si>
  <si>
    <t>L.M. Kho</t>
  </si>
  <si>
    <t>F.K. Wijnbergen</t>
  </si>
  <si>
    <t>Mw SS van der Heide</t>
  </si>
  <si>
    <t>Zak rijst kerstactie</t>
  </si>
  <si>
    <t>L.C.E. Schuiling-Stekele</t>
  </si>
  <si>
    <t>zak rijst (wellicht te laat, had de mail gemist)</t>
  </si>
  <si>
    <t>W.J. Helsloot eo R.F. Fernhout-Hels</t>
  </si>
  <si>
    <t>M.L. van der Vlugt</t>
  </si>
  <si>
    <t>VJ ROETERS VAN LENNEP</t>
  </si>
  <si>
    <t>L. v.d.Boogaard en of G.W.V. v.d.Bo</t>
  </si>
  <si>
    <t>T.b.v. zak rijst</t>
  </si>
  <si>
    <t>2 zakken rijst.</t>
  </si>
  <si>
    <t>Hr HGS Triemstra</t>
  </si>
  <si>
    <t>Mw JAW van t Westeinde</t>
  </si>
  <si>
    <t>G.J. Molenkamp</t>
  </si>
  <si>
    <t>Hr M Kok</t>
  </si>
  <si>
    <t>Zak rijst 2x</t>
  </si>
  <si>
    <t>Mw LG van Duin</t>
  </si>
  <si>
    <t>Zak rijst. Fijne kerst.</t>
  </si>
  <si>
    <t>H. Meulenkamp</t>
  </si>
  <si>
    <t>Zak rijst Bymyra</t>
  </si>
  <si>
    <t>Zakken rijst</t>
  </si>
  <si>
    <t>Mw J A Krale</t>
  </si>
  <si>
    <t>Rijst!</t>
  </si>
  <si>
    <t>Zak(ken) rijst</t>
  </si>
  <si>
    <t>H.J. Moens en/of M.C. He</t>
  </si>
  <si>
    <t>BAM POL CJ</t>
  </si>
  <si>
    <t>Donatie 5 zakken rijst, bon appetite</t>
  </si>
  <si>
    <t>R D BAKHUIZEN</t>
  </si>
  <si>
    <t>Zakken Rijst</t>
  </si>
  <si>
    <t>Hr PJJM Priems, Mw EAM Volkers</t>
  </si>
  <si>
    <t>Zakken rijst. Keep on doing the good works.</t>
  </si>
  <si>
    <t>7 zakken rijst</t>
  </si>
  <si>
    <t>G DEKKER</t>
  </si>
  <si>
    <t>Lunch programma school Gambia deel 2 2024</t>
  </si>
  <si>
    <t>Deel 3 van overeenkomst 2022-11-03</t>
  </si>
  <si>
    <t>Zonnepanelen restaurant Modou en Ida waarvan 1000 euro gift</t>
  </si>
  <si>
    <t>Gift/donatie (zonnepanelen restaurant Modou)</t>
  </si>
  <si>
    <t>Lening t.a.v. afbouw huis Effie</t>
  </si>
  <si>
    <t>Lening Effie voor afbouw huis</t>
  </si>
  <si>
    <t>Lening o/g (zonnepanelen restaurant Modou)</t>
  </si>
  <si>
    <t>Deel 5 van overeenkomst 2020-03-01</t>
  </si>
  <si>
    <t>sponsoring  pa Babou baldeh 2024</t>
  </si>
  <si>
    <t>Sponsoring schoolgeld kind jaar 1</t>
  </si>
  <si>
    <t>Aanvulling op sponsorkind van Ilse vdJ in Gambia. Bijdrage 2024</t>
  </si>
  <si>
    <t>Sponsorbijdrage 2024</t>
  </si>
  <si>
    <t>Laatste sponsoring kind Gambia</t>
  </si>
  <si>
    <t>Sponsoring</t>
  </si>
  <si>
    <t>Sponsoring kind 80 Tombong Fadera 2e termijn</t>
  </si>
  <si>
    <t>Sponsorship children Gambia</t>
  </si>
  <si>
    <t>JAAR 2022-2023</t>
  </si>
  <si>
    <t>FM BUTER</t>
  </si>
  <si>
    <t>Sponsorship Gambia jaar 3 (herfst 2023)</t>
  </si>
  <si>
    <t>Bewegingspraktijk PureMotion oefent</t>
  </si>
  <si>
    <t>donatie zomer Keety Zoeten</t>
  </si>
  <si>
    <t>Periodieke gift Bymyra Bilingual School Gambia (5)</t>
  </si>
  <si>
    <t>Hr AJ Scheepstra, Mw JA Tamminga</t>
  </si>
  <si>
    <t>R.D. Jacobs e/o Z.S. Jacobs-Bosboom</t>
  </si>
  <si>
    <t>Sponsoring Tida Fatty schooljaar 2024-25</t>
  </si>
  <si>
    <t>Sponsorship Gambiajaar 4 (herfst 2024)</t>
  </si>
  <si>
    <t>Donatie herfst Keety Zoeten</t>
  </si>
  <si>
    <t>Sponsering kind Bymyra school Gambia</t>
  </si>
  <si>
    <t>Sponsoring Sainabou Ceesay</t>
  </si>
  <si>
    <t>2023 en 2024.</t>
  </si>
  <si>
    <t>Mw M Badjie</t>
  </si>
  <si>
    <t>sponsoring Mariama Bah grade 2 Bymyra school Gambia.</t>
  </si>
  <si>
    <t>Sponsor geld Mustapha. Elena en Jesse</t>
  </si>
  <si>
    <t>HUMAN CONNECTION BV</t>
  </si>
  <si>
    <t>Factuurnummer 224001</t>
  </si>
  <si>
    <t>Sponsorship Bymera 2024</t>
  </si>
  <si>
    <t>sponsorbedrag Winter en extra voor december</t>
  </si>
  <si>
    <t>Kosten van 01-10-2023 tot en met 31-12-2023</t>
  </si>
  <si>
    <t>Kosten van 01-01-2024 tot en met 31-03-2024</t>
  </si>
  <si>
    <t>Kosten van 01-04-2024 tot en met 30-06-2024</t>
  </si>
  <si>
    <t>Kosten van 01-07-2024 tot en met 30-09-2024</t>
  </si>
  <si>
    <t>Restant verblijfskosten Tunbung na afbetaling lening  cash betaald door Bertie aan Yafatou 10 maart 2024</t>
  </si>
  <si>
    <t>van KW voor stoelen en matrassen cash betaald door Bertie aan Yafatou 24 maart 2024</t>
  </si>
  <si>
    <t>t.b.v. project Tunbung Village 100 meter tuinslang</t>
  </si>
  <si>
    <t>Geld voor aankoop Toyota Coaster via alec in China voor Bymyra school Gambia</t>
  </si>
  <si>
    <t>Donatie (bus Bymyra)</t>
  </si>
  <si>
    <t>Geld Bartosz voor bus in China</t>
  </si>
  <si>
    <t>Hout en timmerman  werkzaamheden bibliotheek Bymyraschool cash gegeven door Bertie aan Bussel 15 maart 2024</t>
  </si>
  <si>
    <t>Donatie (Bymyra school)</t>
  </si>
  <si>
    <t>kosten twee poppenkasten voor Bymyraschool in Gambia cash door Bertie betaald aan Tineke Hofland</t>
  </si>
  <si>
    <t>Canvas fotos gift voor Bymyra en Vocational center</t>
  </si>
  <si>
    <t>adaptor voor synthesizer voor Bymyraschool Gambia</t>
  </si>
  <si>
    <t>hoes voor laptop Auntie Bussel</t>
  </si>
  <si>
    <t>t.b.v. laptop for Auntie Bussel project sponsorship Bymyra School in Gambia</t>
  </si>
  <si>
    <t>Teruggave voiruitbetaalde deel vliegkosten Abdulie en Ida</t>
  </si>
  <si>
    <t>Donatie (reiskosten Ida en Abdulie)</t>
  </si>
  <si>
    <t>Geld Rijst actie  cash neenemen naar Gambia voor Bymra</t>
  </si>
  <si>
    <t>Geld voor bouw IT /science ruimte Bymyra Bilingual School</t>
  </si>
  <si>
    <t>Donatie (verbouwing IT lokaal)</t>
  </si>
  <si>
    <t>tbv twee partytenten voor Skillceter in Gambia</t>
  </si>
  <si>
    <t>Geld om cash mee te nemen naa Gambia voor voedselproject 1 en 3</t>
  </si>
  <si>
    <t>Donatie (voedselprogramma 1 en 3)</t>
  </si>
  <si>
    <t>terugbetaling cash gegeven geld aan Auntie Bussel  onderdeel foodproject 3</t>
  </si>
  <si>
    <t>Cash betaald door Bertie aan Bussel voor extr werk ivm sponsorship vValt onder foodprojrct F3</t>
  </si>
  <si>
    <t>Terugbetaling cash naar Gambia gebracht geld voor Foodproject 3</t>
  </si>
  <si>
    <t>verrekening cash gegeven geld Gambia</t>
  </si>
  <si>
    <t>Geld viir zonnepanele Modou gaarne overmaken 3090 dollar naar Akex in China</t>
  </si>
  <si>
    <t>Donatie (zonnepanelen restaurant Modou)</t>
  </si>
  <si>
    <t>C Hendriks</t>
  </si>
  <si>
    <t>3 dagen onverwachts Egmond  bedankt</t>
  </si>
  <si>
    <t>Terugstorting</t>
  </si>
  <si>
    <t>Verrekening vash gegeven geld dec 2023-april 2024</t>
  </si>
  <si>
    <t>Financiële transactie (verrekening kosten)</t>
  </si>
  <si>
    <t>factuur 12848</t>
  </si>
  <si>
    <t>uittreksel KvK</t>
  </si>
  <si>
    <t>factuurnr. 202440162199</t>
  </si>
  <si>
    <t>factuurnr. 202440165095</t>
  </si>
  <si>
    <t>Lening van Bettie Janssen via KW cash betaald aan Fatou Sanneh door Bertie op 31 maart 2024</t>
  </si>
  <si>
    <t>geld van Bettie Janssen voor EFFIE IN Gambia gast cash mee met Herman Gels</t>
  </si>
  <si>
    <t>Lening u/g (zonnepanelen restaurant Modou)</t>
  </si>
  <si>
    <t>container 624 6/1 3951051</t>
  </si>
  <si>
    <t>container 624 3951124 datum 9 dec 2024</t>
  </si>
  <si>
    <t>kosten verpakkingsmiddelen voor containervervoe</t>
  </si>
  <si>
    <t>kosten tape voor verpakkingsmateriaal container</t>
  </si>
  <si>
    <t>Kosten container 319 spullen gebracht 12 juli 2024</t>
  </si>
  <si>
    <t>kosten inpakmateriaal</t>
  </si>
  <si>
    <t>Kosten container 9 november 2024</t>
  </si>
  <si>
    <t>Betaling van container Gambia 23 nov</t>
  </si>
  <si>
    <t>plakband spanbanden voor vervoer naar container</t>
  </si>
  <si>
    <t>t.b.v. sponsoring 6 kinderen in Foumbot Bertie brengt het daar cash</t>
  </si>
  <si>
    <t>Henk Verburg</t>
  </si>
  <si>
    <t>Arnaud Jan Scheepstra</t>
  </si>
  <si>
    <t>Yvonne Jacobs</t>
  </si>
  <si>
    <t>Marieke Scheepstra</t>
  </si>
  <si>
    <t>Rob en Zita Jacobs</t>
  </si>
  <si>
    <t>Bewegingspraktijk PureMotion oefent (Keety Zoeten)</t>
  </si>
  <si>
    <t>Mariatou Badjie</t>
  </si>
  <si>
    <t>Annet Swieringa</t>
  </si>
  <si>
    <t>Daan van der Weele</t>
  </si>
  <si>
    <t>Bartosz</t>
  </si>
  <si>
    <t>Via bank te ontvangen betreffende 2024</t>
  </si>
  <si>
    <t>Via bank ontvangen in 2024 voor komende jaren</t>
  </si>
  <si>
    <t>Nog te ontvangen bedragen over 2024</t>
  </si>
  <si>
    <t>Afboeking nog te ontvangen bedragen</t>
  </si>
  <si>
    <t>Totaal in 2024 via bank ontvangen</t>
  </si>
  <si>
    <t>Reeds vooruit ontvangen sponsoring voor 2024</t>
  </si>
  <si>
    <t>Totale verplichting sponsoring Bymyra 2024</t>
  </si>
  <si>
    <t>Toelichting 2024</t>
  </si>
  <si>
    <t>STAAT VAN HERKOMST EN BESTEDING VAN MIDDELEN 2024 STICHTING KAMEROEN WERKT!</t>
  </si>
  <si>
    <t>OVERZICHT BANKMUTATIES TRIODOS BANK 2024</t>
  </si>
  <si>
    <t>Financiële transacties en verrekeningen</t>
  </si>
  <si>
    <t>Te ontvangen sponsorgelden Bymyra school over 2024</t>
  </si>
  <si>
    <t>Ontvangen bedragen over eerdere jaren in 2024</t>
  </si>
  <si>
    <t>Ontvangen bedragen betreffende voorgaande jaren</t>
  </si>
  <si>
    <t>Aflossing lening Tunbung Village: € 1,- afrondingsverschil afgeboekt</t>
  </si>
  <si>
    <t>Vooruitontvangen sponsoring Bymyra school in 2024</t>
  </si>
  <si>
    <t>Vooruitontvangen sponsoring schoolkinderen Kameroen in 2024</t>
  </si>
  <si>
    <t>Correctie/verrekening/vrijval in 2024</t>
  </si>
  <si>
    <t>Correctie in 2024</t>
  </si>
  <si>
    <t>Specifieke bestedingen Bymyra 2024</t>
  </si>
  <si>
    <t>Ontvangsten voor vooruitbetaalde bedragen (sponsoring Bymyra)</t>
  </si>
  <si>
    <t>Ontvangsten voor vooruitbetaalde bedragen (voedselprogramma)</t>
  </si>
  <si>
    <t>Vrijval vooruitontvangen bedragen sponsoring in 2024</t>
  </si>
  <si>
    <t>Vooruitontvangen bedragen Tunbung Village</t>
  </si>
  <si>
    <t>Saldo vooruitbetaalde bedragen donaties huis Effie</t>
  </si>
  <si>
    <t>bijdragen voor reizen naar Hart van Afrika (egalisatie in 2025)</t>
  </si>
  <si>
    <t>te egaliseren met jaarlijkse te ontvangen donaties (tot en met 2027)</t>
  </si>
  <si>
    <t xml:space="preserve">Vooruit betaalde bedragen donaties huis Effie betreft een vooruitbetaald bedrag </t>
  </si>
  <si>
    <t>Aflossing lening u/g (tailorshop Effie)</t>
  </si>
  <si>
    <t>Kameroen Werkt</t>
  </si>
  <si>
    <t>abuis dubbel opgevoerde post (vooruitbetaalde bedragen sponsoring)</t>
  </si>
  <si>
    <t>Vooruitontvangen bedragen Tunbung Village betreffen saldo ontvangen en betaalde</t>
  </si>
  <si>
    <t xml:space="preserve">De correctie bij Vooruitontvangen bedragen betreft een tegenboeking van een in 2023 per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</si>
</sst>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  <numFmt numFmtId="165" formatCode="d\-m\-yyyy"/>
    <numFmt numFmtId="166" formatCode="_ [$€-413]\ * #,##0_ ;_ [$€-413]\ * \-#,##0_ ;_ [$€-413]\ * &quot;-&quot;??_ ;_ @_ 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theme="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9"/>
      <color indexed="81"/>
      <name val="Tahoma"/>
      <charset val="1"/>
    </font>
    <font>
      <b/>
      <sz val="11"/>
      <name val="Calibri"/>
      <family val="2"/>
      <scheme val="minor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3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164" fontId="1" fillId="0" borderId="0" xfId="0" applyNumberFormat="1" applyFont="1"/>
    <xf numFmtId="164" fontId="0" fillId="0" borderId="1" xfId="0" applyNumberFormat="1" applyBorder="1"/>
    <xf numFmtId="0" fontId="4" fillId="0" borderId="0" xfId="0" applyFont="1"/>
    <xf numFmtId="164" fontId="2" fillId="0" borderId="0" xfId="0" applyNumberFormat="1" applyFont="1"/>
    <xf numFmtId="0" fontId="1" fillId="0" borderId="2" xfId="0" applyFont="1" applyBorder="1"/>
    <xf numFmtId="0" fontId="1" fillId="2" borderId="3" xfId="0" applyFont="1" applyFill="1" applyBorder="1"/>
    <xf numFmtId="164" fontId="0" fillId="2" borderId="4" xfId="0" applyNumberFormat="1" applyFill="1" applyBorder="1"/>
    <xf numFmtId="0" fontId="3" fillId="3" borderId="3" xfId="0" applyFont="1" applyFill="1" applyBorder="1"/>
    <xf numFmtId="164" fontId="0" fillId="3" borderId="5" xfId="0" applyNumberFormat="1" applyFill="1" applyBorder="1"/>
    <xf numFmtId="0" fontId="0" fillId="3" borderId="5" xfId="0" applyFill="1" applyBorder="1"/>
    <xf numFmtId="164" fontId="0" fillId="3" borderId="4" xfId="0" applyNumberFormat="1" applyFill="1" applyBorder="1"/>
    <xf numFmtId="164" fontId="4" fillId="0" borderId="0" xfId="0" applyNumberFormat="1" applyFont="1"/>
    <xf numFmtId="0" fontId="3" fillId="4" borderId="3" xfId="0" applyFont="1" applyFill="1" applyBorder="1"/>
    <xf numFmtId="0" fontId="0" fillId="4" borderId="5" xfId="0" applyFill="1" applyBorder="1"/>
    <xf numFmtId="0" fontId="0" fillId="4" borderId="4" xfId="0" applyFill="1" applyBorder="1"/>
    <xf numFmtId="0" fontId="1" fillId="0" borderId="2" xfId="0" quotePrefix="1" applyFont="1" applyBorder="1" applyAlignment="1">
      <alignment horizontal="center" vertical="center"/>
    </xf>
    <xf numFmtId="164" fontId="4" fillId="0" borderId="2" xfId="0" applyNumberFormat="1" applyFont="1" applyBorder="1"/>
    <xf numFmtId="164" fontId="3" fillId="0" borderId="0" xfId="0" applyNumberFormat="1" applyFont="1"/>
    <xf numFmtId="0" fontId="3" fillId="0" borderId="0" xfId="0" applyFont="1"/>
    <xf numFmtId="0" fontId="3" fillId="5" borderId="3" xfId="0" applyFont="1" applyFill="1" applyBorder="1"/>
    <xf numFmtId="164" fontId="3" fillId="5" borderId="5" xfId="0" applyNumberFormat="1" applyFont="1" applyFill="1" applyBorder="1"/>
    <xf numFmtId="0" fontId="3" fillId="5" borderId="5" xfId="0" applyFont="1" applyFill="1" applyBorder="1"/>
    <xf numFmtId="164" fontId="3" fillId="5" borderId="4" xfId="0" applyNumberFormat="1" applyFont="1" applyFill="1" applyBorder="1"/>
    <xf numFmtId="0" fontId="2" fillId="6" borderId="3" xfId="0" applyFont="1" applyFill="1" applyBorder="1"/>
    <xf numFmtId="164" fontId="0" fillId="6" borderId="5" xfId="0" applyNumberFormat="1" applyFill="1" applyBorder="1"/>
    <xf numFmtId="164" fontId="0" fillId="6" borderId="4" xfId="0" applyNumberFormat="1" applyFill="1" applyBorder="1"/>
    <xf numFmtId="0" fontId="0" fillId="6" borderId="5" xfId="0" applyFill="1" applyBorder="1"/>
    <xf numFmtId="0" fontId="0" fillId="6" borderId="4" xfId="0" applyFill="1" applyBorder="1"/>
    <xf numFmtId="0" fontId="0" fillId="5" borderId="5" xfId="0" applyFill="1" applyBorder="1"/>
    <xf numFmtId="0" fontId="0" fillId="5" borderId="4" xfId="0" applyFill="1" applyBorder="1"/>
    <xf numFmtId="0" fontId="7" fillId="0" borderId="0" xfId="1" applyFont="1" applyAlignment="1">
      <alignment vertical="center"/>
    </xf>
    <xf numFmtId="0" fontId="3" fillId="7" borderId="3" xfId="0" applyFont="1" applyFill="1" applyBorder="1"/>
    <xf numFmtId="0" fontId="3" fillId="7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center"/>
    </xf>
    <xf numFmtId="0" fontId="0" fillId="7" borderId="5" xfId="0" applyFill="1" applyBorder="1" applyAlignment="1">
      <alignment horizontal="left"/>
    </xf>
    <xf numFmtId="0" fontId="3" fillId="7" borderId="5" xfId="0" applyFont="1" applyFill="1" applyBorder="1"/>
    <xf numFmtId="0" fontId="0" fillId="7" borderId="5" xfId="0" applyFill="1" applyBorder="1"/>
    <xf numFmtId="0" fontId="0" fillId="7" borderId="4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8" fillId="0" borderId="0" xfId="0" applyFont="1"/>
    <xf numFmtId="14" fontId="0" fillId="0" borderId="0" xfId="0" quotePrefix="1" applyNumberFormat="1" applyAlignment="1">
      <alignment horizontal="center"/>
    </xf>
    <xf numFmtId="0" fontId="0" fillId="0" borderId="0" xfId="0" quotePrefix="1" applyAlignment="1">
      <alignment horizontal="center"/>
    </xf>
    <xf numFmtId="166" fontId="0" fillId="0" borderId="0" xfId="0" applyNumberFormat="1"/>
    <xf numFmtId="166" fontId="2" fillId="0" borderId="0" xfId="0" applyNumberFormat="1" applyFont="1"/>
    <xf numFmtId="0" fontId="11" fillId="0" borderId="0" xfId="0" applyFont="1"/>
    <xf numFmtId="0" fontId="11" fillId="0" borderId="0" xfId="0" applyFont="1" applyAlignment="1">
      <alignment vertical="center"/>
    </xf>
    <xf numFmtId="166" fontId="0" fillId="0" borderId="0" xfId="0" quotePrefix="1" applyNumberFormat="1"/>
    <xf numFmtId="0" fontId="8" fillId="0" borderId="0" xfId="0" applyFont="1" applyAlignment="1">
      <alignment vertical="center"/>
    </xf>
    <xf numFmtId="166" fontId="0" fillId="0" borderId="1" xfId="0" applyNumberFormat="1" applyBorder="1"/>
    <xf numFmtId="166" fontId="1" fillId="0" borderId="0" xfId="0" applyNumberFormat="1" applyFont="1"/>
    <xf numFmtId="0" fontId="2" fillId="0" borderId="0" xfId="0" applyFont="1" applyAlignment="1">
      <alignment horizontal="left"/>
    </xf>
    <xf numFmtId="166" fontId="4" fillId="0" borderId="0" xfId="0" applyNumberFormat="1" applyFont="1"/>
    <xf numFmtId="164" fontId="1" fillId="9" borderId="0" xfId="0" applyNumberFormat="1" applyFont="1" applyFill="1"/>
    <xf numFmtId="0" fontId="0" fillId="10" borderId="6" xfId="0" applyFill="1" applyBorder="1" applyAlignment="1">
      <alignment horizontal="left"/>
    </xf>
    <xf numFmtId="166" fontId="0" fillId="10" borderId="7" xfId="0" applyNumberFormat="1" applyFill="1" applyBorder="1"/>
    <xf numFmtId="0" fontId="1" fillId="10" borderId="2" xfId="0" applyFont="1" applyFill="1" applyBorder="1"/>
    <xf numFmtId="0" fontId="0" fillId="10" borderId="8" xfId="0" applyFill="1" applyBorder="1" applyAlignment="1">
      <alignment horizontal="left"/>
    </xf>
    <xf numFmtId="166" fontId="0" fillId="10" borderId="0" xfId="0" applyNumberFormat="1" applyFill="1"/>
    <xf numFmtId="166" fontId="0" fillId="10" borderId="1" xfId="0" applyNumberFormat="1" applyFill="1" applyBorder="1"/>
    <xf numFmtId="0" fontId="0" fillId="10" borderId="9" xfId="0" applyFill="1" applyBorder="1" applyAlignment="1">
      <alignment horizontal="left"/>
    </xf>
    <xf numFmtId="166" fontId="1" fillId="10" borderId="1" xfId="0" applyNumberFormat="1" applyFont="1" applyFill="1" applyBorder="1"/>
    <xf numFmtId="0" fontId="0" fillId="0" borderId="0" xfId="0" quotePrefix="1"/>
    <xf numFmtId="166" fontId="0" fillId="3" borderId="0" xfId="0" applyNumberFormat="1" applyFill="1"/>
    <xf numFmtId="166" fontId="0" fillId="11" borderId="0" xfId="0" applyNumberFormat="1" applyFill="1"/>
    <xf numFmtId="166" fontId="0" fillId="10" borderId="10" xfId="0" applyNumberFormat="1" applyFill="1" applyBorder="1"/>
    <xf numFmtId="4" fontId="0" fillId="0" borderId="0" xfId="0" applyNumberFormat="1" applyAlignment="1">
      <alignment horizontal="left" vertical="center"/>
    </xf>
    <xf numFmtId="164" fontId="12" fillId="0" borderId="0" xfId="0" applyNumberFormat="1" applyFont="1"/>
    <xf numFmtId="164" fontId="12" fillId="0" borderId="1" xfId="0" applyNumberFormat="1" applyFont="1" applyBorder="1"/>
    <xf numFmtId="44" fontId="0" fillId="0" borderId="0" xfId="0" applyNumberFormat="1"/>
    <xf numFmtId="44" fontId="1" fillId="0" borderId="0" xfId="0" applyNumberFormat="1" applyFont="1"/>
    <xf numFmtId="166" fontId="0" fillId="6" borderId="0" xfId="0" applyNumberFormat="1" applyFill="1"/>
    <xf numFmtId="0" fontId="13" fillId="0" borderId="0" xfId="0" applyFont="1"/>
    <xf numFmtId="0" fontId="13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left" vertical="center"/>
    </xf>
    <xf numFmtId="165" fontId="14" fillId="0" borderId="0" xfId="0" applyNumberFormat="1" applyFont="1" applyAlignment="1">
      <alignment horizontal="left"/>
    </xf>
    <xf numFmtId="0" fontId="16" fillId="0" borderId="0" xfId="0" applyFont="1"/>
    <xf numFmtId="4" fontId="2" fillId="0" borderId="0" xfId="0" applyNumberFormat="1" applyFont="1" applyAlignment="1">
      <alignment horizontal="left" vertical="center"/>
    </xf>
    <xf numFmtId="164" fontId="8" fillId="0" borderId="0" xfId="0" applyNumberFormat="1" applyFont="1"/>
    <xf numFmtId="164" fontId="4" fillId="2" borderId="2" xfId="0" applyNumberFormat="1" applyFont="1" applyFill="1" applyBorder="1"/>
    <xf numFmtId="0" fontId="12" fillId="0" borderId="0" xfId="0" applyFont="1"/>
    <xf numFmtId="4" fontId="12" fillId="0" borderId="0" xfId="0" applyNumberFormat="1" applyFont="1" applyAlignment="1">
      <alignment horizontal="left" vertical="center"/>
    </xf>
    <xf numFmtId="165" fontId="12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1" xfId="0" applyNumberFormat="1" applyFont="1" applyBorder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4" fontId="1" fillId="8" borderId="2" xfId="0" applyNumberFormat="1" applyFont="1" applyFill="1" applyBorder="1" applyAlignment="1">
      <alignment horizontal="right" vertical="center"/>
    </xf>
    <xf numFmtId="0" fontId="18" fillId="6" borderId="2" xfId="0" applyFont="1" applyFill="1" applyBorder="1" applyAlignment="1">
      <alignment horizontal="right" vertical="center"/>
    </xf>
    <xf numFmtId="0" fontId="18" fillId="6" borderId="2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8" fillId="11" borderId="2" xfId="0" applyFont="1" applyFill="1" applyBorder="1" applyAlignment="1">
      <alignment horizontal="right" vertical="center"/>
    </xf>
    <xf numFmtId="0" fontId="18" fillId="11" borderId="2" xfId="0" applyFont="1" applyFill="1" applyBorder="1" applyAlignment="1">
      <alignment horizontal="center" vertical="center"/>
    </xf>
    <xf numFmtId="0" fontId="18" fillId="11" borderId="2" xfId="0" applyFont="1" applyFill="1" applyBorder="1" applyAlignment="1">
      <alignment horizontal="left" vertical="center"/>
    </xf>
    <xf numFmtId="165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6" fontId="2" fillId="11" borderId="0" xfId="0" applyNumberFormat="1" applyFont="1" applyFill="1"/>
    <xf numFmtId="166" fontId="0" fillId="6" borderId="1" xfId="0" applyNumberFormat="1" applyFill="1" applyBorder="1"/>
    <xf numFmtId="166" fontId="0" fillId="8" borderId="0" xfId="0" applyNumberFormat="1" applyFill="1"/>
    <xf numFmtId="0" fontId="3" fillId="10" borderId="3" xfId="0" applyFont="1" applyFill="1" applyBorder="1"/>
    <xf numFmtId="0" fontId="3" fillId="10" borderId="5" xfId="0" applyFont="1" applyFill="1" applyBorder="1" applyAlignment="1">
      <alignment horizontal="center"/>
    </xf>
    <xf numFmtId="0" fontId="0" fillId="10" borderId="5" xfId="0" applyFill="1" applyBorder="1" applyAlignment="1">
      <alignment horizontal="center"/>
    </xf>
    <xf numFmtId="0" fontId="0" fillId="10" borderId="5" xfId="0" applyFill="1" applyBorder="1" applyAlignment="1">
      <alignment horizontal="left"/>
    </xf>
    <xf numFmtId="0" fontId="0" fillId="10" borderId="5" xfId="0" applyFill="1" applyBorder="1"/>
    <xf numFmtId="0" fontId="3" fillId="10" borderId="5" xfId="0" applyFont="1" applyFill="1" applyBorder="1"/>
    <xf numFmtId="0" fontId="0" fillId="10" borderId="4" xfId="0" applyFill="1" applyBorder="1"/>
    <xf numFmtId="166" fontId="1" fillId="10" borderId="11" xfId="0" applyNumberFormat="1" applyFont="1" applyFill="1" applyBorder="1"/>
    <xf numFmtId="164" fontId="2" fillId="0" borderId="1" xfId="0" applyNumberFormat="1" applyFont="1" applyBorder="1"/>
    <xf numFmtId="0" fontId="3" fillId="12" borderId="3" xfId="0" applyFont="1" applyFill="1" applyBorder="1" applyAlignment="1">
      <alignment horizontal="left" vertical="center"/>
    </xf>
    <xf numFmtId="0" fontId="12" fillId="12" borderId="5" xfId="0" applyFont="1" applyFill="1" applyBorder="1" applyAlignment="1">
      <alignment horizontal="right" vertical="center"/>
    </xf>
    <xf numFmtId="0" fontId="12" fillId="12" borderId="5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left" vertical="center"/>
    </xf>
    <xf numFmtId="0" fontId="12" fillId="12" borderId="4" xfId="0" applyFont="1" applyFill="1" applyBorder="1" applyAlignment="1">
      <alignment horizontal="center" vertical="center"/>
    </xf>
    <xf numFmtId="164" fontId="1" fillId="13" borderId="0" xfId="0" applyNumberFormat="1" applyFont="1" applyFill="1"/>
    <xf numFmtId="44" fontId="0" fillId="0" borderId="1" xfId="0" applyNumberFormat="1" applyBorder="1"/>
    <xf numFmtId="0" fontId="0" fillId="0" borderId="0" xfId="0" quotePrefix="1" applyFill="1"/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</cellXfs>
  <cellStyles count="2">
    <cellStyle name="Normal" xfId="1" xr:uid="{E6DC5143-DA3E-48F1-946A-F03799171442}"/>
    <cellStyle name="Standaard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8"/>
  <sheetViews>
    <sheetView tabSelected="1" workbookViewId="0"/>
  </sheetViews>
  <sheetFormatPr defaultRowHeight="14.5" x14ac:dyDescent="0.35"/>
  <cols>
    <col min="1" max="1" width="50.81640625" customWidth="1"/>
    <col min="2" max="3" width="12.81640625" customWidth="1"/>
    <col min="4" max="4" width="5.81640625" customWidth="1"/>
    <col min="5" max="5" width="50.81640625" customWidth="1"/>
    <col min="6" max="7" width="12.81640625" customWidth="1"/>
  </cols>
  <sheetData>
    <row r="1" spans="1:7" ht="15.5" x14ac:dyDescent="0.35">
      <c r="A1" s="16" t="s">
        <v>260</v>
      </c>
      <c r="B1" s="17"/>
      <c r="C1" s="17"/>
      <c r="D1" s="17"/>
      <c r="E1" s="17"/>
      <c r="F1" s="17"/>
      <c r="G1" s="18"/>
    </row>
    <row r="3" spans="1:7" x14ac:dyDescent="0.35">
      <c r="A3" s="8" t="s">
        <v>0</v>
      </c>
      <c r="B3" s="19" t="s">
        <v>261</v>
      </c>
      <c r="C3" s="19" t="s">
        <v>262</v>
      </c>
      <c r="E3" s="8" t="s">
        <v>1</v>
      </c>
      <c r="F3" s="19" t="s">
        <v>261</v>
      </c>
      <c r="G3" s="19" t="s">
        <v>262</v>
      </c>
    </row>
    <row r="4" spans="1:7" ht="9" customHeight="1" x14ac:dyDescent="0.35">
      <c r="B4" s="2"/>
      <c r="C4" s="2"/>
      <c r="F4" s="2"/>
      <c r="G4" s="2"/>
    </row>
    <row r="5" spans="1:7" x14ac:dyDescent="0.35">
      <c r="A5" s="3" t="s">
        <v>4</v>
      </c>
      <c r="B5" s="2"/>
      <c r="C5" s="75"/>
      <c r="E5" s="3" t="s">
        <v>7</v>
      </c>
      <c r="F5" s="2"/>
      <c r="G5" s="2"/>
    </row>
    <row r="6" spans="1:7" x14ac:dyDescent="0.35">
      <c r="A6" t="s">
        <v>95</v>
      </c>
      <c r="B6" s="2">
        <f>4000</f>
        <v>4000</v>
      </c>
      <c r="C6" s="75">
        <f>B6-SHBM!B25</f>
        <v>3000</v>
      </c>
      <c r="E6" t="s">
        <v>212</v>
      </c>
      <c r="F6" s="2">
        <f>1000</f>
        <v>1000</v>
      </c>
      <c r="G6" s="2">
        <f>F6</f>
        <v>1000</v>
      </c>
    </row>
    <row r="7" spans="1:7" x14ac:dyDescent="0.35">
      <c r="A7" t="s">
        <v>96</v>
      </c>
      <c r="B7" s="2">
        <f>2500</f>
        <v>2500</v>
      </c>
      <c r="C7" s="75">
        <f>B7-SHBM!B24</f>
        <v>1500</v>
      </c>
      <c r="E7" t="s">
        <v>211</v>
      </c>
      <c r="F7" s="2">
        <f>500</f>
        <v>500</v>
      </c>
      <c r="G7" s="2">
        <f>F7</f>
        <v>500</v>
      </c>
    </row>
    <row r="8" spans="1:7" x14ac:dyDescent="0.35">
      <c r="A8" t="s">
        <v>97</v>
      </c>
      <c r="B8" s="2">
        <f>671</f>
        <v>671</v>
      </c>
      <c r="C8" s="75">
        <f>B8-SHBM!B26-1</f>
        <v>0</v>
      </c>
      <c r="E8" t="s">
        <v>215</v>
      </c>
      <c r="F8" s="2">
        <f>3000</f>
        <v>3000</v>
      </c>
      <c r="G8" s="2">
        <f>F8+SHBM!F23</f>
        <v>8000</v>
      </c>
    </row>
    <row r="9" spans="1:7" x14ac:dyDescent="0.35">
      <c r="A9" t="s">
        <v>210</v>
      </c>
      <c r="B9" s="2">
        <f>2250</f>
        <v>2250</v>
      </c>
      <c r="C9" s="75">
        <f>B9</f>
        <v>2250</v>
      </c>
      <c r="E9" s="96" t="s">
        <v>440</v>
      </c>
      <c r="F9" s="75">
        <f>0</f>
        <v>0</v>
      </c>
      <c r="G9" s="2">
        <f>SHBM!B21</f>
        <v>1850</v>
      </c>
    </row>
    <row r="10" spans="1:7" x14ac:dyDescent="0.35">
      <c r="A10" t="s">
        <v>216</v>
      </c>
      <c r="B10" s="2">
        <f>3000</f>
        <v>3000</v>
      </c>
      <c r="C10" s="75">
        <f>B10+SHBM!F23</f>
        <v>8000</v>
      </c>
      <c r="G10" s="2"/>
    </row>
    <row r="11" spans="1:7" x14ac:dyDescent="0.35">
      <c r="B11" s="2"/>
      <c r="C11" s="75"/>
      <c r="G11" s="2"/>
    </row>
    <row r="12" spans="1:7" x14ac:dyDescent="0.35">
      <c r="A12" t="s">
        <v>162</v>
      </c>
      <c r="B12" s="2">
        <f>34228</f>
        <v>34228</v>
      </c>
      <c r="C12" s="75">
        <f>C30</f>
        <v>22793</v>
      </c>
      <c r="F12" s="2"/>
    </row>
    <row r="13" spans="1:7" x14ac:dyDescent="0.35">
      <c r="B13" s="2"/>
      <c r="C13" s="75"/>
      <c r="E13" t="s">
        <v>108</v>
      </c>
      <c r="F13" s="2">
        <f>15530</f>
        <v>15530</v>
      </c>
      <c r="G13" s="2">
        <f>C52</f>
        <v>15520</v>
      </c>
    </row>
    <row r="14" spans="1:7" x14ac:dyDescent="0.35">
      <c r="A14" t="s">
        <v>18</v>
      </c>
      <c r="B14" s="2">
        <f>1520</f>
        <v>1520</v>
      </c>
      <c r="C14" s="75">
        <f>C36</f>
        <v>1910</v>
      </c>
      <c r="F14" s="2"/>
      <c r="G14" s="2"/>
    </row>
    <row r="15" spans="1:7" x14ac:dyDescent="0.35">
      <c r="B15" s="2"/>
      <c r="C15" s="75"/>
      <c r="E15" t="s">
        <v>14</v>
      </c>
      <c r="F15" s="2">
        <f>10000</f>
        <v>10000</v>
      </c>
      <c r="G15" s="84">
        <f>C45</f>
        <v>4380</v>
      </c>
    </row>
    <row r="16" spans="1:7" x14ac:dyDescent="0.35">
      <c r="A16" s="3" t="s">
        <v>5</v>
      </c>
      <c r="B16" s="2"/>
      <c r="C16" s="75"/>
      <c r="F16" s="2"/>
      <c r="G16" s="2"/>
    </row>
    <row r="17" spans="1:8" x14ac:dyDescent="0.35">
      <c r="A17" t="s">
        <v>13</v>
      </c>
      <c r="B17" s="2">
        <f>8280.63</f>
        <v>8280.6299999999992</v>
      </c>
      <c r="C17" s="75">
        <f>28825.57</f>
        <v>28825.57</v>
      </c>
      <c r="E17" t="s">
        <v>6</v>
      </c>
      <c r="F17" s="2">
        <f>26419.63</f>
        <v>26419.63</v>
      </c>
      <c r="G17" s="2">
        <f>C19-G6-G7-G8-G9-G13-G15</f>
        <v>37028.570000000007</v>
      </c>
    </row>
    <row r="18" spans="1:8" x14ac:dyDescent="0.35">
      <c r="B18" s="5"/>
      <c r="C18" s="131"/>
      <c r="F18" s="5"/>
      <c r="G18" s="5"/>
    </row>
    <row r="19" spans="1:8" x14ac:dyDescent="0.35">
      <c r="B19" s="4">
        <f>SUM(B4:B18)</f>
        <v>56449.63</v>
      </c>
      <c r="C19" s="76">
        <f>SUM(C4:C18)</f>
        <v>68278.570000000007</v>
      </c>
      <c r="F19" s="4">
        <f>SUM(F4:F18)</f>
        <v>56449.630000000005</v>
      </c>
      <c r="G19" s="4">
        <f>SUM(G4:G18)</f>
        <v>68278.570000000007</v>
      </c>
    </row>
    <row r="20" spans="1:8" ht="15.5" x14ac:dyDescent="0.35">
      <c r="B20" s="2"/>
      <c r="C20" s="2"/>
      <c r="F20" s="4"/>
      <c r="G20" s="4"/>
      <c r="H20" s="22"/>
    </row>
    <row r="21" spans="1:8" ht="15.5" x14ac:dyDescent="0.35">
      <c r="B21" s="2"/>
      <c r="C21" s="2"/>
      <c r="F21" s="4"/>
      <c r="G21" s="4"/>
      <c r="H21" s="22"/>
    </row>
    <row r="22" spans="1:8" s="22" customFormat="1" ht="15.5" x14ac:dyDescent="0.35">
      <c r="A22" s="23" t="s">
        <v>263</v>
      </c>
      <c r="B22" s="24"/>
      <c r="C22" s="24"/>
      <c r="D22" s="25"/>
      <c r="E22" s="25"/>
      <c r="F22" s="24"/>
      <c r="G22" s="26"/>
      <c r="H22"/>
    </row>
    <row r="23" spans="1:8" ht="15.5" x14ac:dyDescent="0.35">
      <c r="A23" s="22"/>
      <c r="B23" s="21"/>
      <c r="C23" s="21"/>
      <c r="D23" s="22"/>
      <c r="E23" s="22"/>
      <c r="F23" s="21"/>
      <c r="G23" s="21"/>
    </row>
    <row r="24" spans="1:8" x14ac:dyDescent="0.35">
      <c r="A24" s="27" t="s">
        <v>162</v>
      </c>
      <c r="B24" s="30"/>
      <c r="C24" s="31"/>
      <c r="E24" s="27" t="s">
        <v>15</v>
      </c>
      <c r="F24" s="28"/>
      <c r="G24" s="29"/>
    </row>
    <row r="25" spans="1:8" x14ac:dyDescent="0.35">
      <c r="A25" t="s">
        <v>20</v>
      </c>
      <c r="B25" s="2"/>
      <c r="C25" s="2">
        <f>B12</f>
        <v>34228</v>
      </c>
      <c r="E25" t="s">
        <v>12</v>
      </c>
      <c r="F25" s="2"/>
      <c r="G25" s="2">
        <f>F17</f>
        <v>26419.63</v>
      </c>
    </row>
    <row r="26" spans="1:8" x14ac:dyDescent="0.35">
      <c r="A26" t="s">
        <v>554</v>
      </c>
      <c r="B26" s="2"/>
      <c r="C26" s="2">
        <f>-'Sponsoring Bymyra'!L100-'Sponsoring Bymyra'!L102</f>
        <v>-21335</v>
      </c>
      <c r="E26" t="s">
        <v>11</v>
      </c>
      <c r="F26" s="2"/>
      <c r="G26" s="2">
        <f>SHBM!C33</f>
        <v>79790.070000000007</v>
      </c>
    </row>
    <row r="27" spans="1:8" x14ac:dyDescent="0.35">
      <c r="A27" t="s">
        <v>555</v>
      </c>
      <c r="B27" s="2"/>
      <c r="C27" s="2">
        <f>-SHBM!B15+SHBM!G21</f>
        <v>-3550</v>
      </c>
      <c r="E27" t="s">
        <v>9</v>
      </c>
      <c r="F27" s="2"/>
      <c r="G27" s="2">
        <f>-SHBM!G31</f>
        <v>-59245.130000000005</v>
      </c>
    </row>
    <row r="28" spans="1:8" x14ac:dyDescent="0.35">
      <c r="A28" s="72" t="s">
        <v>553</v>
      </c>
      <c r="B28" s="2"/>
      <c r="C28" s="2">
        <f>SHBM!F14</f>
        <v>10000</v>
      </c>
      <c r="E28" t="s">
        <v>160</v>
      </c>
      <c r="F28" s="2"/>
      <c r="G28" s="2">
        <f>-B6+C6-B7+C7-B8+C8-B9+C9-B10+C10</f>
        <v>2329</v>
      </c>
    </row>
    <row r="29" spans="1:8" x14ac:dyDescent="0.35">
      <c r="A29" s="72" t="s">
        <v>558</v>
      </c>
      <c r="B29" s="2"/>
      <c r="C29" s="5">
        <f>4600-SHBM!B5</f>
        <v>3450</v>
      </c>
      <c r="E29" t="s">
        <v>208</v>
      </c>
      <c r="F29" s="2"/>
      <c r="G29" s="2">
        <f>C12-B12</f>
        <v>-11435</v>
      </c>
    </row>
    <row r="30" spans="1:8" x14ac:dyDescent="0.35">
      <c r="A30" s="1" t="s">
        <v>218</v>
      </c>
      <c r="B30" s="2"/>
      <c r="C30" s="130">
        <f>SUM(C25:C29)</f>
        <v>22793</v>
      </c>
      <c r="E30" t="s">
        <v>259</v>
      </c>
      <c r="F30" s="2"/>
      <c r="G30" s="2">
        <f>C14-B14</f>
        <v>390</v>
      </c>
    </row>
    <row r="31" spans="1:8" x14ac:dyDescent="0.35">
      <c r="A31" s="1"/>
      <c r="B31" s="2"/>
      <c r="C31" s="4"/>
      <c r="E31" t="s">
        <v>209</v>
      </c>
      <c r="F31" s="2"/>
      <c r="G31" s="2">
        <f>F6-G6+F7-G7+F8-G8+F9-G9</f>
        <v>-6850</v>
      </c>
    </row>
    <row r="32" spans="1:8" x14ac:dyDescent="0.35">
      <c r="A32" s="27" t="s">
        <v>18</v>
      </c>
      <c r="B32" s="30"/>
      <c r="C32" s="31"/>
      <c r="E32" t="s">
        <v>17</v>
      </c>
      <c r="F32" s="2"/>
      <c r="G32" s="2">
        <f>F15-G15</f>
        <v>5620</v>
      </c>
    </row>
    <row r="33" spans="1:7" x14ac:dyDescent="0.35">
      <c r="A33" t="s">
        <v>20</v>
      </c>
      <c r="B33" s="2"/>
      <c r="C33" s="2">
        <f>B14</f>
        <v>1520</v>
      </c>
      <c r="E33" t="s">
        <v>161</v>
      </c>
      <c r="F33" s="2"/>
      <c r="G33" s="5">
        <f>F13-G13</f>
        <v>10</v>
      </c>
    </row>
    <row r="34" spans="1:7" x14ac:dyDescent="0.35">
      <c r="A34" t="s">
        <v>545</v>
      </c>
      <c r="B34" s="2"/>
      <c r="C34" s="2">
        <f>'Sponsoring Bymyra'!L101</f>
        <v>1910</v>
      </c>
      <c r="E34" s="6" t="s">
        <v>10</v>
      </c>
      <c r="F34" s="2"/>
      <c r="G34" s="15">
        <f>SUM(G25:G33)</f>
        <v>37028.570000000007</v>
      </c>
    </row>
    <row r="35" spans="1:7" x14ac:dyDescent="0.35">
      <c r="A35" t="s">
        <v>546</v>
      </c>
      <c r="B35" s="2"/>
      <c r="C35" s="5">
        <f>-'Sponsoring Bymyra'!L103</f>
        <v>-1520</v>
      </c>
      <c r="E35" s="6"/>
      <c r="F35" s="2"/>
      <c r="G35" s="15"/>
    </row>
    <row r="36" spans="1:7" x14ac:dyDescent="0.35">
      <c r="A36" s="1" t="s">
        <v>21</v>
      </c>
      <c r="B36" s="2"/>
      <c r="C36" s="4">
        <f>SUM(C33:C35)</f>
        <v>1910</v>
      </c>
      <c r="E36" s="6"/>
      <c r="F36" s="2"/>
      <c r="G36" s="85">
        <f>G17-G34</f>
        <v>0</v>
      </c>
    </row>
    <row r="37" spans="1:7" x14ac:dyDescent="0.35">
      <c r="A37" s="1"/>
      <c r="B37" s="2"/>
      <c r="C37" s="4"/>
    </row>
    <row r="38" spans="1:7" ht="15.5" x14ac:dyDescent="0.35">
      <c r="A38" s="27" t="s">
        <v>14</v>
      </c>
      <c r="B38" s="30"/>
      <c r="C38" s="31"/>
      <c r="E38" s="23" t="s">
        <v>207</v>
      </c>
      <c r="F38" s="32"/>
      <c r="G38" s="33"/>
    </row>
    <row r="39" spans="1:7" x14ac:dyDescent="0.35">
      <c r="A39" t="s">
        <v>20</v>
      </c>
      <c r="C39" s="2">
        <f>F15</f>
        <v>10000</v>
      </c>
      <c r="E39" s="68" t="s">
        <v>548</v>
      </c>
    </row>
    <row r="40" spans="1:7" x14ac:dyDescent="0.35">
      <c r="A40" t="s">
        <v>550</v>
      </c>
      <c r="C40" s="2">
        <f>0</f>
        <v>0</v>
      </c>
      <c r="E40" s="68"/>
    </row>
    <row r="41" spans="1:7" x14ac:dyDescent="0.35">
      <c r="A41" t="s">
        <v>549</v>
      </c>
      <c r="C41" s="2">
        <f>'Sponsoring Bymyra'!L99</f>
        <v>0</v>
      </c>
      <c r="E41" s="68" t="s">
        <v>565</v>
      </c>
    </row>
    <row r="42" spans="1:7" x14ac:dyDescent="0.35">
      <c r="A42" t="s">
        <v>556</v>
      </c>
      <c r="C42" s="2">
        <f>-'Sponsoring Bymyra'!L113-('Sponsoring Kameroen'!G15-'Sponsoring Kameroen'!H15)</f>
        <v>-4240</v>
      </c>
      <c r="E42" s="68" t="s">
        <v>559</v>
      </c>
    </row>
    <row r="43" spans="1:7" x14ac:dyDescent="0.35">
      <c r="A43" t="s">
        <v>557</v>
      </c>
      <c r="C43" s="2">
        <f>SHBM!C29-SHBM!G27</f>
        <v>3620</v>
      </c>
      <c r="E43" s="68"/>
    </row>
    <row r="44" spans="1:7" x14ac:dyDescent="0.35">
      <c r="A44" t="s">
        <v>552</v>
      </c>
      <c r="C44" s="5">
        <f>-5000</f>
        <v>-5000</v>
      </c>
      <c r="E44" s="68" t="s">
        <v>566</v>
      </c>
    </row>
    <row r="45" spans="1:7" x14ac:dyDescent="0.35">
      <c r="A45" s="1" t="s">
        <v>19</v>
      </c>
      <c r="C45" s="4">
        <f>SUM(C39:C44)</f>
        <v>4380</v>
      </c>
      <c r="E45" s="68" t="s">
        <v>564</v>
      </c>
    </row>
    <row r="46" spans="1:7" x14ac:dyDescent="0.35">
      <c r="A46" s="6"/>
      <c r="C46" s="15"/>
      <c r="E46" s="68"/>
    </row>
    <row r="47" spans="1:7" x14ac:dyDescent="0.35">
      <c r="A47" s="27" t="s">
        <v>108</v>
      </c>
      <c r="B47" s="30"/>
      <c r="C47" s="31"/>
      <c r="E47" s="68" t="s">
        <v>561</v>
      </c>
    </row>
    <row r="48" spans="1:7" x14ac:dyDescent="0.35">
      <c r="A48" t="s">
        <v>20</v>
      </c>
      <c r="C48" s="2">
        <f>F13</f>
        <v>15530</v>
      </c>
      <c r="E48" s="68" t="s">
        <v>560</v>
      </c>
    </row>
    <row r="49" spans="1:7" x14ac:dyDescent="0.35">
      <c r="A49" t="s">
        <v>217</v>
      </c>
      <c r="C49" s="2">
        <f>0</f>
        <v>0</v>
      </c>
      <c r="E49" s="68"/>
    </row>
    <row r="50" spans="1:7" x14ac:dyDescent="0.35">
      <c r="A50" t="s">
        <v>214</v>
      </c>
      <c r="C50" s="2">
        <f>SHBM!B8-SHBM!F13</f>
        <v>740</v>
      </c>
      <c r="E50" s="132"/>
    </row>
    <row r="51" spans="1:7" x14ac:dyDescent="0.35">
      <c r="A51" t="s">
        <v>551</v>
      </c>
      <c r="C51" s="5">
        <f>-Bankmutaties!B323</f>
        <v>-750</v>
      </c>
      <c r="E51" s="68"/>
    </row>
    <row r="52" spans="1:7" x14ac:dyDescent="0.35">
      <c r="A52" s="1" t="s">
        <v>206</v>
      </c>
      <c r="C52" s="4">
        <f>SUM(C48:C51)</f>
        <v>15520</v>
      </c>
      <c r="E52" s="68"/>
    </row>
    <row r="58" spans="1:7" x14ac:dyDescent="0.35">
      <c r="G58" s="2"/>
    </row>
  </sheetData>
  <pageMargins left="0.70866141732283472" right="0.70866141732283472" top="0.74803149606299213" bottom="0.74803149606299213" header="0.31496062992125984" footer="0.31496062992125984"/>
  <pageSetup paperSize="8" scale="97" orientation="landscape" r:id="rId1"/>
  <ignoredErrors>
    <ignoredError sqref="C5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9"/>
  <sheetViews>
    <sheetView workbookViewId="0"/>
  </sheetViews>
  <sheetFormatPr defaultRowHeight="14.5" x14ac:dyDescent="0.35"/>
  <cols>
    <col min="1" max="1" width="47.6328125" customWidth="1"/>
    <col min="2" max="2" width="12.6328125" style="2" customWidth="1"/>
    <col min="3" max="3" width="12.6328125" customWidth="1"/>
    <col min="4" max="4" width="3.6328125" customWidth="1"/>
    <col min="5" max="5" width="47.6328125" customWidth="1"/>
    <col min="6" max="7" width="12.6328125" style="2" customWidth="1"/>
    <col min="8" max="8" width="12.6328125" customWidth="1"/>
  </cols>
  <sheetData>
    <row r="1" spans="1:7" ht="15.5" x14ac:dyDescent="0.35">
      <c r="A1" s="11" t="s">
        <v>542</v>
      </c>
      <c r="B1" s="12"/>
      <c r="C1" s="13"/>
      <c r="D1" s="13"/>
      <c r="E1" s="13"/>
      <c r="F1" s="12"/>
      <c r="G1" s="14"/>
    </row>
    <row r="2" spans="1:7" ht="21" customHeight="1" x14ac:dyDescent="0.35"/>
    <row r="3" spans="1:7" x14ac:dyDescent="0.35">
      <c r="A3" s="9" t="s">
        <v>2</v>
      </c>
      <c r="B3" s="10"/>
      <c r="E3" s="9" t="s">
        <v>8</v>
      </c>
      <c r="F3" s="10"/>
    </row>
    <row r="4" spans="1:7" x14ac:dyDescent="0.35">
      <c r="A4" s="87" t="s">
        <v>302</v>
      </c>
      <c r="B4" s="2">
        <f>Bankmutaties!B86</f>
        <v>16286.76</v>
      </c>
      <c r="C4" s="2"/>
      <c r="E4" s="3" t="s">
        <v>23</v>
      </c>
      <c r="G4" s="7">
        <f>Bankmutaties!B280</f>
        <v>183.45</v>
      </c>
    </row>
    <row r="5" spans="1:7" x14ac:dyDescent="0.35">
      <c r="A5" s="96" t="s">
        <v>229</v>
      </c>
      <c r="B5" s="2">
        <f>Bankmutaties!B90</f>
        <v>1150</v>
      </c>
      <c r="C5" s="2"/>
    </row>
    <row r="6" spans="1:7" x14ac:dyDescent="0.35">
      <c r="A6" s="96" t="s">
        <v>345</v>
      </c>
      <c r="B6" s="2">
        <f>Bankmutaties!B94</f>
        <v>175</v>
      </c>
      <c r="C6" s="2"/>
      <c r="E6" s="3" t="s">
        <v>90</v>
      </c>
      <c r="G6" s="7">
        <f>Bankmutaties!B348</f>
        <v>4119.5700000000006</v>
      </c>
    </row>
    <row r="7" spans="1:7" x14ac:dyDescent="0.35">
      <c r="A7" s="87" t="s">
        <v>349</v>
      </c>
      <c r="B7" s="2">
        <f>Bankmutaties!B105</f>
        <v>497</v>
      </c>
      <c r="C7" s="2"/>
    </row>
    <row r="8" spans="1:7" x14ac:dyDescent="0.35">
      <c r="A8" s="87" t="s">
        <v>233</v>
      </c>
      <c r="B8" s="2">
        <f>Bankmutaties!B191</f>
        <v>2840</v>
      </c>
      <c r="C8" s="2"/>
      <c r="E8" s="3" t="s">
        <v>22</v>
      </c>
      <c r="G8" s="7">
        <f>Bankmutaties!B330</f>
        <v>349.48</v>
      </c>
    </row>
    <row r="9" spans="1:7" x14ac:dyDescent="0.35">
      <c r="A9" s="96" t="s">
        <v>437</v>
      </c>
      <c r="B9" s="2">
        <f>Bankmutaties!B199</f>
        <v>1000</v>
      </c>
      <c r="C9" s="5"/>
    </row>
    <row r="10" spans="1:7" x14ac:dyDescent="0.35">
      <c r="A10" s="57" t="s">
        <v>16</v>
      </c>
      <c r="C10" s="7">
        <f>SUM(B4:B9)</f>
        <v>21948.760000000002</v>
      </c>
      <c r="E10" s="87" t="s">
        <v>479</v>
      </c>
      <c r="F10" s="73">
        <f>Bankmutaties!B289</f>
        <v>17500</v>
      </c>
      <c r="G10" s="73"/>
    </row>
    <row r="11" spans="1:7" x14ac:dyDescent="0.35">
      <c r="A11" s="3"/>
      <c r="C11" s="7"/>
      <c r="E11" s="96" t="s">
        <v>482</v>
      </c>
      <c r="F11" s="73">
        <f>Bankmutaties!B297</f>
        <v>597.63</v>
      </c>
      <c r="G11" s="73"/>
    </row>
    <row r="12" spans="1:7" x14ac:dyDescent="0.35">
      <c r="A12" s="3" t="s">
        <v>24</v>
      </c>
      <c r="C12" s="7">
        <f>Bankmutaties!B60</f>
        <v>5677.3099999999995</v>
      </c>
      <c r="E12" s="87" t="s">
        <v>489</v>
      </c>
      <c r="F12" s="73">
        <f>Bankmutaties!B300</f>
        <v>500</v>
      </c>
      <c r="G12" s="73"/>
    </row>
    <row r="13" spans="1:7" x14ac:dyDescent="0.35">
      <c r="C13" s="2"/>
      <c r="E13" s="79" t="s">
        <v>250</v>
      </c>
      <c r="F13" s="73">
        <f>Bankmutaties!B303</f>
        <v>2100</v>
      </c>
      <c r="G13" s="73"/>
    </row>
    <row r="14" spans="1:7" x14ac:dyDescent="0.35">
      <c r="A14" t="s">
        <v>93</v>
      </c>
      <c r="B14" s="2">
        <f>Bankmutaties!B265</f>
        <v>20945</v>
      </c>
      <c r="C14" s="2"/>
      <c r="E14" s="96" t="s">
        <v>492</v>
      </c>
      <c r="F14" s="73">
        <f>Bankmutaties!B306</f>
        <v>10000</v>
      </c>
      <c r="G14" s="73"/>
    </row>
    <row r="15" spans="1:7" x14ac:dyDescent="0.35">
      <c r="A15" s="72" t="s">
        <v>254</v>
      </c>
      <c r="B15" s="2">
        <f>Bankmutaties!B196</f>
        <v>13500</v>
      </c>
      <c r="C15" s="5"/>
      <c r="E15" s="96" t="s">
        <v>195</v>
      </c>
      <c r="F15" s="73">
        <f>Bankmutaties!B309</f>
        <v>196</v>
      </c>
      <c r="G15" s="73"/>
    </row>
    <row r="16" spans="1:7" x14ac:dyDescent="0.35">
      <c r="A16" s="3" t="s">
        <v>92</v>
      </c>
      <c r="C16" s="7">
        <f>SUM(B14:B15)</f>
        <v>34445</v>
      </c>
      <c r="E16" s="96" t="s">
        <v>501</v>
      </c>
      <c r="F16" s="73">
        <f>Bankmutaties!B319</f>
        <v>1000</v>
      </c>
      <c r="G16" s="74"/>
    </row>
    <row r="17" spans="1:7" x14ac:dyDescent="0.35">
      <c r="A17" s="3"/>
      <c r="C17" s="7"/>
      <c r="E17" s="3" t="s">
        <v>3</v>
      </c>
      <c r="F17" s="73"/>
      <c r="G17" s="7">
        <f>SUM(F10:F16)</f>
        <v>31893.63</v>
      </c>
    </row>
    <row r="18" spans="1:7" x14ac:dyDescent="0.35">
      <c r="A18" s="34" t="s">
        <v>83</v>
      </c>
      <c r="C18" s="7">
        <f>Bankmutaties!B270</f>
        <v>1330</v>
      </c>
      <c r="D18" s="7"/>
      <c r="E18" s="3"/>
      <c r="G18" s="7"/>
    </row>
    <row r="19" spans="1:7" x14ac:dyDescent="0.35">
      <c r="C19" s="2"/>
      <c r="D19" s="7"/>
      <c r="E19" s="3" t="s">
        <v>83</v>
      </c>
      <c r="G19" s="7">
        <f>Bankmutaties!B351</f>
        <v>1900</v>
      </c>
    </row>
    <row r="20" spans="1:7" x14ac:dyDescent="0.35">
      <c r="A20" s="80" t="s">
        <v>213</v>
      </c>
      <c r="B20" s="2">
        <f>Bankmutaties!B203</f>
        <v>5000</v>
      </c>
      <c r="C20" s="2"/>
      <c r="E20" s="3"/>
    </row>
    <row r="21" spans="1:7" x14ac:dyDescent="0.35">
      <c r="A21" s="96" t="s">
        <v>440</v>
      </c>
      <c r="B21" s="2">
        <f>Bankmutaties!B206</f>
        <v>1850</v>
      </c>
      <c r="C21" s="5"/>
      <c r="E21" s="3" t="s">
        <v>258</v>
      </c>
      <c r="G21" s="7">
        <f>Bankmutaties!B316</f>
        <v>9950</v>
      </c>
    </row>
    <row r="22" spans="1:7" x14ac:dyDescent="0.35">
      <c r="A22" s="34" t="s">
        <v>94</v>
      </c>
      <c r="C22" s="7">
        <f>SUM(B20:B21)</f>
        <v>6850</v>
      </c>
      <c r="D22" s="7"/>
    </row>
    <row r="23" spans="1:7" x14ac:dyDescent="0.35">
      <c r="A23" s="34"/>
      <c r="C23" s="7"/>
      <c r="D23" s="7"/>
      <c r="E23" s="78" t="s">
        <v>253</v>
      </c>
      <c r="F23" s="2">
        <f>Bankmutaties!B334</f>
        <v>5000</v>
      </c>
    </row>
    <row r="24" spans="1:7" x14ac:dyDescent="0.35">
      <c r="A24" s="80" t="s">
        <v>222</v>
      </c>
      <c r="B24" s="2">
        <f>Bankmutaties!B5</f>
        <v>1000</v>
      </c>
      <c r="C24" s="7"/>
      <c r="D24" s="7"/>
      <c r="E24" s="96" t="s">
        <v>513</v>
      </c>
      <c r="F24" s="2">
        <f>Bankmutaties!B337</f>
        <v>1850</v>
      </c>
      <c r="G24" s="5"/>
    </row>
    <row r="25" spans="1:7" x14ac:dyDescent="0.35">
      <c r="A25" s="96" t="s">
        <v>562</v>
      </c>
      <c r="B25" s="2">
        <f>Bankmutaties!B8</f>
        <v>1000</v>
      </c>
      <c r="C25" s="7"/>
      <c r="D25" s="7"/>
      <c r="E25" s="3" t="s">
        <v>205</v>
      </c>
      <c r="G25" s="7">
        <f>SUM(F23:F24)</f>
        <v>6850</v>
      </c>
    </row>
    <row r="26" spans="1:7" x14ac:dyDescent="0.35">
      <c r="A26" s="80" t="s">
        <v>204</v>
      </c>
      <c r="B26" s="2">
        <f>Bankmutaties!B12</f>
        <v>670</v>
      </c>
      <c r="C26" s="124"/>
      <c r="D26" s="7"/>
      <c r="E26" s="3"/>
      <c r="G26" s="7"/>
    </row>
    <row r="27" spans="1:7" x14ac:dyDescent="0.35">
      <c r="A27" s="34" t="s">
        <v>255</v>
      </c>
      <c r="C27" s="7">
        <f>SUM(B24:B26)</f>
        <v>2670</v>
      </c>
      <c r="D27" s="7"/>
      <c r="E27" s="83" t="s">
        <v>271</v>
      </c>
      <c r="G27" s="7">
        <f>Bankmutaties!B285</f>
        <v>2024</v>
      </c>
    </row>
    <row r="28" spans="1:7" x14ac:dyDescent="0.35">
      <c r="A28" s="34"/>
      <c r="C28" s="7"/>
      <c r="D28" s="7"/>
      <c r="E28" s="3"/>
      <c r="G28" s="7"/>
    </row>
    <row r="29" spans="1:7" x14ac:dyDescent="0.35">
      <c r="A29" s="83" t="s">
        <v>271</v>
      </c>
      <c r="C29" s="7">
        <f>Bankmutaties!B25</f>
        <v>5644</v>
      </c>
      <c r="E29" s="82" t="s">
        <v>544</v>
      </c>
      <c r="G29" s="7">
        <f>Bankmutaties!B324</f>
        <v>1975</v>
      </c>
    </row>
    <row r="30" spans="1:7" x14ac:dyDescent="0.35">
      <c r="C30" s="7"/>
      <c r="E30" s="3"/>
      <c r="G30" s="7"/>
    </row>
    <row r="31" spans="1:7" x14ac:dyDescent="0.35">
      <c r="A31" s="82" t="s">
        <v>257</v>
      </c>
      <c r="C31" s="7">
        <f>Bankmutaties!B29</f>
        <v>1225</v>
      </c>
      <c r="G31" s="20">
        <f>G4+G6+G8+G17+G19+G21+G25+G27+G29</f>
        <v>59245.130000000005</v>
      </c>
    </row>
    <row r="32" spans="1:7" x14ac:dyDescent="0.35">
      <c r="C32" s="2"/>
    </row>
    <row r="33" spans="2:9" x14ac:dyDescent="0.35">
      <c r="C33" s="20">
        <f>C10+C12+C16+C18+C22+C27+C29+C31</f>
        <v>79790.070000000007</v>
      </c>
    </row>
    <row r="34" spans="2:9" x14ac:dyDescent="0.35">
      <c r="C34" s="2"/>
    </row>
    <row r="35" spans="2:9" x14ac:dyDescent="0.35">
      <c r="I35" s="7"/>
    </row>
    <row r="44" spans="2:9" x14ac:dyDescent="0.35">
      <c r="B44"/>
    </row>
    <row r="45" spans="2:9" x14ac:dyDescent="0.35">
      <c r="B45"/>
    </row>
    <row r="49" spans="2:2" x14ac:dyDescent="0.35">
      <c r="B49"/>
    </row>
  </sheetData>
  <phoneticPr fontId="5" type="noConversion"/>
  <pageMargins left="0.70866141732283472" right="0.70866141732283472" top="0.74803149606299213" bottom="0.74803149606299213" header="0.31496062992125984" footer="0.31496062992125984"/>
  <pageSetup paperSize="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18E2-5154-4C55-8A05-CEFA83DE71CA}">
  <dimension ref="A1:F354"/>
  <sheetViews>
    <sheetView workbookViewId="0"/>
  </sheetViews>
  <sheetFormatPr defaultRowHeight="14.5" x14ac:dyDescent="0.35"/>
  <cols>
    <col min="1" max="2" width="12.6328125" style="90" customWidth="1"/>
    <col min="3" max="3" width="10.6328125" style="95" customWidth="1"/>
    <col min="4" max="4" width="42.6328125" style="96" customWidth="1"/>
    <col min="5" max="5" width="60.6328125" style="96" customWidth="1"/>
    <col min="6" max="6" width="42.6328125" style="95" customWidth="1"/>
    <col min="7" max="16384" width="8.7265625" style="86"/>
  </cols>
  <sheetData>
    <row r="1" spans="1:6" ht="15.5" x14ac:dyDescent="0.35">
      <c r="A1" s="125" t="s">
        <v>543</v>
      </c>
      <c r="B1" s="126"/>
      <c r="C1" s="127"/>
      <c r="D1" s="128"/>
      <c r="E1" s="128"/>
      <c r="F1" s="129"/>
    </row>
    <row r="2" spans="1:6" ht="21" customHeight="1" x14ac:dyDescent="0.35"/>
    <row r="3" spans="1:6" x14ac:dyDescent="0.35">
      <c r="A3" s="108" t="s">
        <v>25</v>
      </c>
      <c r="B3" s="108" t="s">
        <v>26</v>
      </c>
      <c r="C3" s="109" t="s">
        <v>27</v>
      </c>
      <c r="D3" s="110" t="s">
        <v>28</v>
      </c>
      <c r="E3" s="110" t="s">
        <v>29</v>
      </c>
      <c r="F3" s="109" t="s">
        <v>163</v>
      </c>
    </row>
    <row r="4" spans="1:6" x14ac:dyDescent="0.35">
      <c r="A4" s="88">
        <v>45541</v>
      </c>
      <c r="B4" s="91">
        <v>1000</v>
      </c>
      <c r="C4" s="95" t="s">
        <v>30</v>
      </c>
      <c r="D4" s="96" t="s">
        <v>38</v>
      </c>
      <c r="E4" s="96" t="s">
        <v>264</v>
      </c>
      <c r="F4" s="97" t="s">
        <v>222</v>
      </c>
    </row>
    <row r="5" spans="1:6" x14ac:dyDescent="0.35">
      <c r="A5" s="88"/>
      <c r="B5" s="92">
        <f>SUM(B4)</f>
        <v>1000</v>
      </c>
      <c r="F5" s="97"/>
    </row>
    <row r="6" spans="1:6" x14ac:dyDescent="0.35">
      <c r="A6" s="88"/>
      <c r="B6" s="93"/>
      <c r="F6" s="97"/>
    </row>
    <row r="7" spans="1:6" x14ac:dyDescent="0.35">
      <c r="A7" s="88">
        <v>45386</v>
      </c>
      <c r="B7" s="94">
        <v>1000</v>
      </c>
      <c r="C7" s="95" t="s">
        <v>30</v>
      </c>
      <c r="D7" s="96" t="s">
        <v>38</v>
      </c>
      <c r="E7" s="96" t="s">
        <v>265</v>
      </c>
      <c r="F7" s="95" t="s">
        <v>562</v>
      </c>
    </row>
    <row r="8" spans="1:6" x14ac:dyDescent="0.35">
      <c r="A8" s="88"/>
      <c r="B8" s="92">
        <f>SUM(B7)</f>
        <v>1000</v>
      </c>
    </row>
    <row r="9" spans="1:6" x14ac:dyDescent="0.35">
      <c r="A9" s="88"/>
      <c r="B9" s="93"/>
    </row>
    <row r="10" spans="1:6" x14ac:dyDescent="0.35">
      <c r="A10" s="88">
        <v>45346</v>
      </c>
      <c r="B10" s="93">
        <v>220</v>
      </c>
      <c r="C10" s="95" t="s">
        <v>30</v>
      </c>
      <c r="D10" s="96" t="s">
        <v>82</v>
      </c>
      <c r="E10" s="96" t="s">
        <v>266</v>
      </c>
      <c r="F10" s="98" t="s">
        <v>204</v>
      </c>
    </row>
    <row r="11" spans="1:6" x14ac:dyDescent="0.35">
      <c r="A11" s="88">
        <v>45332</v>
      </c>
      <c r="B11" s="94">
        <v>450</v>
      </c>
      <c r="C11" s="95" t="s">
        <v>30</v>
      </c>
      <c r="D11" s="96" t="s">
        <v>267</v>
      </c>
      <c r="E11" s="96" t="s">
        <v>268</v>
      </c>
      <c r="F11" s="98" t="s">
        <v>204</v>
      </c>
    </row>
    <row r="12" spans="1:6" x14ac:dyDescent="0.35">
      <c r="A12" s="88"/>
      <c r="B12" s="92">
        <f>SUM(B10:B11)</f>
        <v>670</v>
      </c>
      <c r="F12" s="98"/>
    </row>
    <row r="13" spans="1:6" x14ac:dyDescent="0.35">
      <c r="A13" s="88"/>
      <c r="B13" s="93"/>
      <c r="F13" s="98"/>
    </row>
    <row r="14" spans="1:6" x14ac:dyDescent="0.35">
      <c r="A14" s="88">
        <v>45313</v>
      </c>
      <c r="B14" s="93">
        <v>176</v>
      </c>
      <c r="C14" s="95" t="s">
        <v>30</v>
      </c>
      <c r="D14" s="96" t="s">
        <v>269</v>
      </c>
      <c r="E14" s="96" t="s">
        <v>270</v>
      </c>
      <c r="F14" s="98" t="s">
        <v>271</v>
      </c>
    </row>
    <row r="15" spans="1:6" x14ac:dyDescent="0.35">
      <c r="A15" s="88">
        <v>45326</v>
      </c>
      <c r="B15" s="93">
        <v>198</v>
      </c>
      <c r="C15" s="95" t="s">
        <v>30</v>
      </c>
      <c r="D15" s="96" t="s">
        <v>238</v>
      </c>
      <c r="E15" s="96" t="s">
        <v>272</v>
      </c>
      <c r="F15" s="98" t="s">
        <v>271</v>
      </c>
    </row>
    <row r="16" spans="1:6" x14ac:dyDescent="0.35">
      <c r="A16" s="88">
        <v>45326</v>
      </c>
      <c r="B16" s="93">
        <v>198</v>
      </c>
      <c r="C16" s="95" t="s">
        <v>30</v>
      </c>
      <c r="D16" s="96" t="s">
        <v>236</v>
      </c>
      <c r="E16" s="96" t="s">
        <v>273</v>
      </c>
      <c r="F16" s="98" t="s">
        <v>271</v>
      </c>
    </row>
    <row r="17" spans="1:6" x14ac:dyDescent="0.35">
      <c r="A17" s="88">
        <v>45338</v>
      </c>
      <c r="B17" s="93">
        <v>198</v>
      </c>
      <c r="C17" s="95" t="s">
        <v>30</v>
      </c>
      <c r="D17" s="96" t="s">
        <v>44</v>
      </c>
      <c r="E17" s="96" t="s">
        <v>274</v>
      </c>
      <c r="F17" s="98" t="s">
        <v>271</v>
      </c>
    </row>
    <row r="18" spans="1:6" x14ac:dyDescent="0.35">
      <c r="A18" s="88">
        <v>45344</v>
      </c>
      <c r="B18" s="93">
        <v>198</v>
      </c>
      <c r="C18" s="95" t="s">
        <v>30</v>
      </c>
      <c r="D18" s="96" t="s">
        <v>275</v>
      </c>
      <c r="E18" s="96" t="s">
        <v>273</v>
      </c>
      <c r="F18" s="98" t="s">
        <v>271</v>
      </c>
    </row>
    <row r="19" spans="1:6" x14ac:dyDescent="0.35">
      <c r="A19" s="88">
        <v>45316</v>
      </c>
      <c r="B19" s="93">
        <v>746</v>
      </c>
      <c r="C19" s="95" t="s">
        <v>30</v>
      </c>
      <c r="D19" s="96" t="s">
        <v>38</v>
      </c>
      <c r="E19" s="96" t="s">
        <v>276</v>
      </c>
      <c r="F19" s="98" t="s">
        <v>271</v>
      </c>
    </row>
    <row r="20" spans="1:6" x14ac:dyDescent="0.35">
      <c r="A20" s="88">
        <v>45330</v>
      </c>
      <c r="B20" s="93">
        <f>770</f>
        <v>770</v>
      </c>
      <c r="C20" s="95" t="s">
        <v>30</v>
      </c>
      <c r="D20" s="96" t="s">
        <v>46</v>
      </c>
      <c r="E20" s="96" t="s">
        <v>223</v>
      </c>
      <c r="F20" s="98" t="s">
        <v>271</v>
      </c>
    </row>
    <row r="21" spans="1:6" x14ac:dyDescent="0.35">
      <c r="A21" s="88">
        <v>45615</v>
      </c>
      <c r="B21" s="93">
        <v>670</v>
      </c>
      <c r="C21" s="95" t="s">
        <v>30</v>
      </c>
      <c r="D21" s="96" t="s">
        <v>277</v>
      </c>
      <c r="E21" s="96" t="s">
        <v>278</v>
      </c>
      <c r="F21" s="98" t="s">
        <v>271</v>
      </c>
    </row>
    <row r="22" spans="1:6" x14ac:dyDescent="0.35">
      <c r="A22" s="88">
        <v>45656</v>
      </c>
      <c r="B22" s="93">
        <f>735</f>
        <v>735</v>
      </c>
      <c r="C22" s="95" t="s">
        <v>30</v>
      </c>
      <c r="D22" s="96" t="s">
        <v>40</v>
      </c>
      <c r="E22" s="96" t="s">
        <v>279</v>
      </c>
      <c r="F22" s="98" t="s">
        <v>271</v>
      </c>
    </row>
    <row r="23" spans="1:6" x14ac:dyDescent="0.35">
      <c r="A23" s="88">
        <v>45657</v>
      </c>
      <c r="B23" s="93">
        <f>735</f>
        <v>735</v>
      </c>
      <c r="C23" s="95" t="s">
        <v>30</v>
      </c>
      <c r="D23" s="96" t="s">
        <v>280</v>
      </c>
      <c r="E23" s="96" t="s">
        <v>281</v>
      </c>
      <c r="F23" s="98" t="s">
        <v>271</v>
      </c>
    </row>
    <row r="24" spans="1:6" x14ac:dyDescent="0.35">
      <c r="A24" s="88">
        <v>45624</v>
      </c>
      <c r="B24" s="94">
        <f>1020</f>
        <v>1020</v>
      </c>
      <c r="C24" s="95" t="s">
        <v>30</v>
      </c>
      <c r="D24" s="96" t="s">
        <v>224</v>
      </c>
      <c r="E24" s="96" t="s">
        <v>282</v>
      </c>
      <c r="F24" s="98" t="s">
        <v>271</v>
      </c>
    </row>
    <row r="25" spans="1:6" x14ac:dyDescent="0.35">
      <c r="A25" s="88"/>
      <c r="B25" s="92">
        <f>SUM(B14:B24)</f>
        <v>5644</v>
      </c>
      <c r="F25" s="97"/>
    </row>
    <row r="26" spans="1:6" x14ac:dyDescent="0.35">
      <c r="A26" s="88"/>
      <c r="B26" s="93"/>
      <c r="F26" s="97"/>
    </row>
    <row r="27" spans="1:6" x14ac:dyDescent="0.35">
      <c r="A27" s="88">
        <v>45493</v>
      </c>
      <c r="B27" s="93">
        <v>225</v>
      </c>
      <c r="C27" s="95" t="s">
        <v>30</v>
      </c>
      <c r="D27" s="96" t="s">
        <v>38</v>
      </c>
      <c r="E27" s="96" t="s">
        <v>283</v>
      </c>
      <c r="F27" s="99" t="s">
        <v>256</v>
      </c>
    </row>
    <row r="28" spans="1:6" x14ac:dyDescent="0.35">
      <c r="A28" s="88">
        <v>45590</v>
      </c>
      <c r="B28" s="94">
        <v>1000</v>
      </c>
      <c r="C28" s="95" t="s">
        <v>30</v>
      </c>
      <c r="D28" s="96" t="s">
        <v>284</v>
      </c>
      <c r="E28" s="96" t="s">
        <v>285</v>
      </c>
      <c r="F28" s="99" t="s">
        <v>256</v>
      </c>
    </row>
    <row r="29" spans="1:6" x14ac:dyDescent="0.35">
      <c r="A29" s="88"/>
      <c r="B29" s="92">
        <f>SUM(B27:B28)</f>
        <v>1225</v>
      </c>
      <c r="F29" s="99"/>
    </row>
    <row r="30" spans="1:6" x14ac:dyDescent="0.35">
      <c r="A30" s="88"/>
      <c r="B30" s="93"/>
      <c r="F30" s="99"/>
    </row>
    <row r="31" spans="1:6" x14ac:dyDescent="0.35">
      <c r="A31" s="88">
        <v>45622</v>
      </c>
      <c r="B31" s="93">
        <v>25</v>
      </c>
      <c r="C31" s="95" t="s">
        <v>30</v>
      </c>
      <c r="D31" s="96" t="s">
        <v>286</v>
      </c>
      <c r="E31" s="96" t="s">
        <v>287</v>
      </c>
      <c r="F31" s="98" t="s">
        <v>32</v>
      </c>
    </row>
    <row r="32" spans="1:6" x14ac:dyDescent="0.35">
      <c r="A32" s="88">
        <v>45356</v>
      </c>
      <c r="B32" s="93">
        <v>26.92</v>
      </c>
      <c r="C32" s="95" t="s">
        <v>30</v>
      </c>
      <c r="D32" s="96" t="s">
        <v>288</v>
      </c>
      <c r="E32" s="96" t="s">
        <v>289</v>
      </c>
      <c r="F32" s="95" t="s">
        <v>32</v>
      </c>
    </row>
    <row r="33" spans="1:6" x14ac:dyDescent="0.35">
      <c r="A33" s="88">
        <v>45597</v>
      </c>
      <c r="B33" s="93">
        <v>45.39</v>
      </c>
      <c r="C33" s="95" t="s">
        <v>30</v>
      </c>
      <c r="D33" s="96" t="s">
        <v>165</v>
      </c>
      <c r="E33" s="96" t="s">
        <v>290</v>
      </c>
      <c r="F33" s="95" t="s">
        <v>32</v>
      </c>
    </row>
    <row r="34" spans="1:6" x14ac:dyDescent="0.35">
      <c r="A34" s="88">
        <v>45561</v>
      </c>
      <c r="B34" s="93">
        <v>50</v>
      </c>
      <c r="C34" s="95" t="s">
        <v>30</v>
      </c>
      <c r="D34" s="96" t="s">
        <v>35</v>
      </c>
      <c r="E34" s="96" t="s">
        <v>291</v>
      </c>
      <c r="F34" s="98" t="s">
        <v>32</v>
      </c>
    </row>
    <row r="35" spans="1:6" x14ac:dyDescent="0.35">
      <c r="A35" s="88">
        <v>45652</v>
      </c>
      <c r="B35" s="93">
        <v>50</v>
      </c>
      <c r="C35" s="95" t="s">
        <v>30</v>
      </c>
      <c r="D35" s="96" t="s">
        <v>35</v>
      </c>
      <c r="E35" s="96" t="s">
        <v>291</v>
      </c>
      <c r="F35" s="98" t="s">
        <v>32</v>
      </c>
    </row>
    <row r="36" spans="1:6" x14ac:dyDescent="0.35">
      <c r="A36" s="88">
        <v>45293</v>
      </c>
      <c r="B36" s="93">
        <v>100</v>
      </c>
      <c r="C36" s="95" t="s">
        <v>30</v>
      </c>
      <c r="D36" s="96" t="s">
        <v>36</v>
      </c>
      <c r="E36" s="96" t="s">
        <v>164</v>
      </c>
      <c r="F36" s="98" t="s">
        <v>32</v>
      </c>
    </row>
    <row r="37" spans="1:6" x14ac:dyDescent="0.35">
      <c r="A37" s="88">
        <v>45321</v>
      </c>
      <c r="B37" s="93">
        <v>100</v>
      </c>
      <c r="C37" s="95" t="s">
        <v>30</v>
      </c>
      <c r="D37" s="96" t="s">
        <v>36</v>
      </c>
      <c r="E37" s="96" t="s">
        <v>164</v>
      </c>
      <c r="F37" s="98" t="s">
        <v>32</v>
      </c>
    </row>
    <row r="38" spans="1:6" x14ac:dyDescent="0.35">
      <c r="A38" s="88">
        <v>45351</v>
      </c>
      <c r="B38" s="93">
        <v>100</v>
      </c>
      <c r="C38" s="95" t="s">
        <v>30</v>
      </c>
      <c r="D38" s="96" t="s">
        <v>36</v>
      </c>
      <c r="E38" s="96" t="s">
        <v>164</v>
      </c>
      <c r="F38" s="98" t="s">
        <v>32</v>
      </c>
    </row>
    <row r="39" spans="1:6" x14ac:dyDescent="0.35">
      <c r="A39" s="88">
        <v>45384</v>
      </c>
      <c r="B39" s="93">
        <v>100</v>
      </c>
      <c r="C39" s="95" t="s">
        <v>30</v>
      </c>
      <c r="D39" s="96" t="s">
        <v>36</v>
      </c>
      <c r="E39" s="96" t="s">
        <v>164</v>
      </c>
      <c r="F39" s="98" t="s">
        <v>32</v>
      </c>
    </row>
    <row r="40" spans="1:6" x14ac:dyDescent="0.35">
      <c r="A40" s="88">
        <v>45412</v>
      </c>
      <c r="B40" s="93">
        <v>100</v>
      </c>
      <c r="C40" s="95" t="s">
        <v>30</v>
      </c>
      <c r="D40" s="96" t="s">
        <v>36</v>
      </c>
      <c r="E40" s="96" t="s">
        <v>164</v>
      </c>
      <c r="F40" s="98" t="s">
        <v>32</v>
      </c>
    </row>
    <row r="41" spans="1:6" x14ac:dyDescent="0.35">
      <c r="A41" s="88">
        <v>45442</v>
      </c>
      <c r="B41" s="93">
        <v>100</v>
      </c>
      <c r="C41" s="95" t="s">
        <v>30</v>
      </c>
      <c r="D41" s="96" t="s">
        <v>36</v>
      </c>
      <c r="E41" s="96" t="s">
        <v>164</v>
      </c>
      <c r="F41" s="98" t="s">
        <v>32</v>
      </c>
    </row>
    <row r="42" spans="1:6" x14ac:dyDescent="0.35">
      <c r="A42" s="88">
        <v>45461</v>
      </c>
      <c r="B42" s="93">
        <v>100</v>
      </c>
      <c r="C42" s="95" t="s">
        <v>30</v>
      </c>
      <c r="D42" s="96" t="s">
        <v>292</v>
      </c>
      <c r="E42" s="96" t="s">
        <v>293</v>
      </c>
      <c r="F42" s="98" t="s">
        <v>32</v>
      </c>
    </row>
    <row r="43" spans="1:6" x14ac:dyDescent="0.35">
      <c r="A43" s="88">
        <v>45471</v>
      </c>
      <c r="B43" s="93">
        <v>100</v>
      </c>
      <c r="C43" s="95" t="s">
        <v>30</v>
      </c>
      <c r="D43" s="96" t="s">
        <v>294</v>
      </c>
      <c r="E43" s="96" t="s">
        <v>193</v>
      </c>
      <c r="F43" s="98" t="s">
        <v>32</v>
      </c>
    </row>
    <row r="44" spans="1:6" x14ac:dyDescent="0.35">
      <c r="A44" s="88">
        <v>45474</v>
      </c>
      <c r="B44" s="93">
        <v>100</v>
      </c>
      <c r="C44" s="95" t="s">
        <v>30</v>
      </c>
      <c r="D44" s="96" t="s">
        <v>36</v>
      </c>
      <c r="E44" s="96" t="s">
        <v>164</v>
      </c>
      <c r="F44" s="98" t="s">
        <v>32</v>
      </c>
    </row>
    <row r="45" spans="1:6" x14ac:dyDescent="0.35">
      <c r="A45" s="88">
        <v>45503</v>
      </c>
      <c r="B45" s="93">
        <v>100</v>
      </c>
      <c r="C45" s="95" t="s">
        <v>30</v>
      </c>
      <c r="D45" s="96" t="s">
        <v>36</v>
      </c>
      <c r="E45" s="96" t="s">
        <v>164</v>
      </c>
      <c r="F45" s="98" t="s">
        <v>32</v>
      </c>
    </row>
    <row r="46" spans="1:6" x14ac:dyDescent="0.35">
      <c r="A46" s="88">
        <v>45534</v>
      </c>
      <c r="B46" s="93">
        <v>100</v>
      </c>
      <c r="C46" s="95" t="s">
        <v>30</v>
      </c>
      <c r="D46" s="96" t="s">
        <v>36</v>
      </c>
      <c r="E46" s="96" t="s">
        <v>164</v>
      </c>
      <c r="F46" s="98" t="s">
        <v>32</v>
      </c>
    </row>
    <row r="47" spans="1:6" x14ac:dyDescent="0.35">
      <c r="A47" s="88">
        <v>45558</v>
      </c>
      <c r="B47" s="93">
        <v>100</v>
      </c>
      <c r="C47" s="95" t="s">
        <v>30</v>
      </c>
      <c r="D47" s="96" t="s">
        <v>84</v>
      </c>
      <c r="E47" s="96" t="s">
        <v>295</v>
      </c>
      <c r="F47" s="98" t="s">
        <v>32</v>
      </c>
    </row>
    <row r="48" spans="1:6" x14ac:dyDescent="0.35">
      <c r="A48" s="88">
        <v>45565</v>
      </c>
      <c r="B48" s="93">
        <v>100</v>
      </c>
      <c r="C48" s="95" t="s">
        <v>30</v>
      </c>
      <c r="D48" s="96" t="s">
        <v>36</v>
      </c>
      <c r="E48" s="96" t="s">
        <v>164</v>
      </c>
      <c r="F48" s="98" t="s">
        <v>32</v>
      </c>
    </row>
    <row r="49" spans="1:6" x14ac:dyDescent="0.35">
      <c r="A49" s="88">
        <v>45595</v>
      </c>
      <c r="B49" s="93">
        <v>100</v>
      </c>
      <c r="C49" s="95" t="s">
        <v>30</v>
      </c>
      <c r="D49" s="96" t="s">
        <v>36</v>
      </c>
      <c r="E49" s="96" t="s">
        <v>164</v>
      </c>
      <c r="F49" s="98" t="s">
        <v>32</v>
      </c>
    </row>
    <row r="50" spans="1:6" x14ac:dyDescent="0.35">
      <c r="A50" s="88">
        <v>45628</v>
      </c>
      <c r="B50" s="93">
        <v>100</v>
      </c>
      <c r="C50" s="95" t="s">
        <v>30</v>
      </c>
      <c r="D50" s="96" t="s">
        <v>36</v>
      </c>
      <c r="E50" s="96" t="s">
        <v>164</v>
      </c>
      <c r="F50" s="98" t="s">
        <v>32</v>
      </c>
    </row>
    <row r="51" spans="1:6" x14ac:dyDescent="0.35">
      <c r="A51" s="88">
        <v>45654</v>
      </c>
      <c r="B51" s="93">
        <v>100</v>
      </c>
      <c r="C51" s="95" t="s">
        <v>30</v>
      </c>
      <c r="D51" s="96" t="s">
        <v>174</v>
      </c>
      <c r="E51" s="96" t="s">
        <v>296</v>
      </c>
      <c r="F51" s="98" t="s">
        <v>32</v>
      </c>
    </row>
    <row r="52" spans="1:6" x14ac:dyDescent="0.35">
      <c r="A52" s="88">
        <v>45656</v>
      </c>
      <c r="B52" s="93">
        <v>100</v>
      </c>
      <c r="C52" s="95" t="s">
        <v>30</v>
      </c>
      <c r="D52" s="96" t="s">
        <v>36</v>
      </c>
      <c r="E52" s="96" t="s">
        <v>164</v>
      </c>
      <c r="F52" s="98" t="s">
        <v>32</v>
      </c>
    </row>
    <row r="53" spans="1:6" x14ac:dyDescent="0.35">
      <c r="A53" s="88">
        <v>45621</v>
      </c>
      <c r="B53" s="93">
        <v>130</v>
      </c>
      <c r="C53" s="95" t="s">
        <v>30</v>
      </c>
      <c r="D53" s="96" t="s">
        <v>224</v>
      </c>
      <c r="E53" s="96" t="s">
        <v>297</v>
      </c>
      <c r="F53" s="95" t="s">
        <v>32</v>
      </c>
    </row>
    <row r="54" spans="1:6" x14ac:dyDescent="0.35">
      <c r="A54" s="88">
        <v>45638</v>
      </c>
      <c r="B54" s="93">
        <v>150</v>
      </c>
      <c r="C54" s="95" t="s">
        <v>30</v>
      </c>
      <c r="D54" s="96" t="s">
        <v>298</v>
      </c>
      <c r="E54" s="96" t="s">
        <v>227</v>
      </c>
      <c r="F54" s="98" t="s">
        <v>32</v>
      </c>
    </row>
    <row r="55" spans="1:6" x14ac:dyDescent="0.35">
      <c r="A55" s="88">
        <v>45293</v>
      </c>
      <c r="B55" s="93">
        <v>400</v>
      </c>
      <c r="C55" s="95" t="s">
        <v>30</v>
      </c>
      <c r="D55" s="96" t="s">
        <v>34</v>
      </c>
      <c r="E55" s="96" t="s">
        <v>33</v>
      </c>
      <c r="F55" s="98" t="s">
        <v>32</v>
      </c>
    </row>
    <row r="56" spans="1:6" x14ac:dyDescent="0.35">
      <c r="A56" s="88">
        <v>45384</v>
      </c>
      <c r="B56" s="93">
        <v>400</v>
      </c>
      <c r="C56" s="95" t="s">
        <v>30</v>
      </c>
      <c r="D56" s="96" t="s">
        <v>34</v>
      </c>
      <c r="E56" s="96" t="s">
        <v>33</v>
      </c>
      <c r="F56" s="98" t="s">
        <v>32</v>
      </c>
    </row>
    <row r="57" spans="1:6" x14ac:dyDescent="0.35">
      <c r="A57" s="88">
        <v>45475</v>
      </c>
      <c r="B57" s="93">
        <v>400</v>
      </c>
      <c r="C57" s="95" t="s">
        <v>30</v>
      </c>
      <c r="D57" s="96" t="s">
        <v>34</v>
      </c>
      <c r="E57" s="96" t="s">
        <v>33</v>
      </c>
      <c r="F57" s="98" t="s">
        <v>32</v>
      </c>
    </row>
    <row r="58" spans="1:6" x14ac:dyDescent="0.35">
      <c r="A58" s="88">
        <v>45566</v>
      </c>
      <c r="B58" s="93">
        <v>400</v>
      </c>
      <c r="C58" s="95" t="s">
        <v>30</v>
      </c>
      <c r="D58" s="96" t="s">
        <v>34</v>
      </c>
      <c r="E58" s="96" t="s">
        <v>33</v>
      </c>
      <c r="F58" s="98" t="s">
        <v>32</v>
      </c>
    </row>
    <row r="59" spans="1:6" x14ac:dyDescent="0.35">
      <c r="A59" s="88">
        <v>45296</v>
      </c>
      <c r="B59" s="94">
        <v>1900</v>
      </c>
      <c r="C59" s="95" t="s">
        <v>30</v>
      </c>
      <c r="D59" s="96" t="s">
        <v>299</v>
      </c>
      <c r="E59" s="96" t="s">
        <v>193</v>
      </c>
      <c r="F59" s="98" t="s">
        <v>32</v>
      </c>
    </row>
    <row r="60" spans="1:6" x14ac:dyDescent="0.35">
      <c r="A60" s="88"/>
      <c r="B60" s="92">
        <f>SUM(B31:B59)</f>
        <v>5677.3099999999995</v>
      </c>
      <c r="F60" s="98"/>
    </row>
    <row r="61" spans="1:6" x14ac:dyDescent="0.35">
      <c r="A61" s="88"/>
      <c r="B61" s="93"/>
      <c r="F61" s="98"/>
    </row>
    <row r="62" spans="1:6" x14ac:dyDescent="0.35">
      <c r="A62" s="88">
        <v>45395</v>
      </c>
      <c r="B62" s="93">
        <v>10</v>
      </c>
      <c r="C62" s="95" t="s">
        <v>30</v>
      </c>
      <c r="D62" s="96" t="s">
        <v>300</v>
      </c>
      <c r="E62" s="96" t="s">
        <v>301</v>
      </c>
      <c r="F62" s="98" t="s">
        <v>302</v>
      </c>
    </row>
    <row r="63" spans="1:6" x14ac:dyDescent="0.35">
      <c r="A63" s="88">
        <v>45387</v>
      </c>
      <c r="B63" s="93">
        <v>20</v>
      </c>
      <c r="C63" s="95" t="s">
        <v>30</v>
      </c>
      <c r="D63" s="96" t="s">
        <v>303</v>
      </c>
      <c r="E63" s="96" t="s">
        <v>304</v>
      </c>
      <c r="F63" s="98" t="s">
        <v>302</v>
      </c>
    </row>
    <row r="64" spans="1:6" x14ac:dyDescent="0.35">
      <c r="A64" s="88">
        <v>45388</v>
      </c>
      <c r="B64" s="93">
        <v>20</v>
      </c>
      <c r="C64" s="95" t="s">
        <v>30</v>
      </c>
      <c r="D64" s="96" t="s">
        <v>305</v>
      </c>
      <c r="E64" s="96" t="s">
        <v>306</v>
      </c>
      <c r="F64" s="98" t="s">
        <v>302</v>
      </c>
    </row>
    <row r="65" spans="1:6" x14ac:dyDescent="0.35">
      <c r="A65" s="88">
        <v>45385</v>
      </c>
      <c r="B65" s="93">
        <v>25</v>
      </c>
      <c r="C65" s="95" t="s">
        <v>30</v>
      </c>
      <c r="D65" s="96" t="s">
        <v>307</v>
      </c>
      <c r="E65" s="96" t="s">
        <v>308</v>
      </c>
      <c r="F65" s="98" t="s">
        <v>302</v>
      </c>
    </row>
    <row r="66" spans="1:6" x14ac:dyDescent="0.35">
      <c r="A66" s="88">
        <v>45387</v>
      </c>
      <c r="B66" s="93">
        <v>25</v>
      </c>
      <c r="C66" s="95" t="s">
        <v>30</v>
      </c>
      <c r="D66" s="96" t="s">
        <v>309</v>
      </c>
      <c r="E66" s="96" t="s">
        <v>310</v>
      </c>
      <c r="F66" s="98" t="s">
        <v>302</v>
      </c>
    </row>
    <row r="67" spans="1:6" x14ac:dyDescent="0.35">
      <c r="A67" s="88">
        <v>45387</v>
      </c>
      <c r="B67" s="93">
        <v>25</v>
      </c>
      <c r="C67" s="95" t="s">
        <v>30</v>
      </c>
      <c r="D67" s="96" t="s">
        <v>311</v>
      </c>
      <c r="E67" s="96" t="s">
        <v>312</v>
      </c>
      <c r="F67" s="98" t="s">
        <v>302</v>
      </c>
    </row>
    <row r="68" spans="1:6" x14ac:dyDescent="0.35">
      <c r="A68" s="88">
        <v>45387</v>
      </c>
      <c r="B68" s="93">
        <v>25</v>
      </c>
      <c r="C68" s="95" t="s">
        <v>30</v>
      </c>
      <c r="D68" s="96" t="s">
        <v>313</v>
      </c>
      <c r="E68" s="96" t="s">
        <v>314</v>
      </c>
      <c r="F68" s="98" t="s">
        <v>302</v>
      </c>
    </row>
    <row r="69" spans="1:6" x14ac:dyDescent="0.35">
      <c r="A69" s="88">
        <v>45387</v>
      </c>
      <c r="B69" s="93">
        <v>30</v>
      </c>
      <c r="C69" s="95" t="s">
        <v>30</v>
      </c>
      <c r="D69" s="96" t="s">
        <v>315</v>
      </c>
      <c r="E69" s="96" t="s">
        <v>193</v>
      </c>
      <c r="F69" s="98" t="s">
        <v>302</v>
      </c>
    </row>
    <row r="70" spans="1:6" x14ac:dyDescent="0.35">
      <c r="A70" s="88">
        <v>45481</v>
      </c>
      <c r="B70" s="93">
        <v>44.46</v>
      </c>
      <c r="C70" s="95" t="s">
        <v>30</v>
      </c>
      <c r="D70" s="96" t="s">
        <v>316</v>
      </c>
      <c r="E70" s="96" t="s">
        <v>317</v>
      </c>
      <c r="F70" s="98" t="s">
        <v>302</v>
      </c>
    </row>
    <row r="71" spans="1:6" x14ac:dyDescent="0.35">
      <c r="A71" s="88">
        <v>45384</v>
      </c>
      <c r="B71" s="93">
        <v>50</v>
      </c>
      <c r="C71" s="95" t="s">
        <v>30</v>
      </c>
      <c r="D71" s="96" t="s">
        <v>318</v>
      </c>
      <c r="E71" s="96" t="s">
        <v>319</v>
      </c>
      <c r="F71" s="98" t="s">
        <v>302</v>
      </c>
    </row>
    <row r="72" spans="1:6" x14ac:dyDescent="0.35">
      <c r="A72" s="88">
        <v>45387</v>
      </c>
      <c r="B72" s="93">
        <v>50</v>
      </c>
      <c r="C72" s="95" t="s">
        <v>30</v>
      </c>
      <c r="D72" s="96" t="s">
        <v>320</v>
      </c>
      <c r="E72" s="96" t="s">
        <v>321</v>
      </c>
      <c r="F72" s="98" t="s">
        <v>302</v>
      </c>
    </row>
    <row r="73" spans="1:6" x14ac:dyDescent="0.35">
      <c r="A73" s="88">
        <v>45387</v>
      </c>
      <c r="B73" s="93">
        <v>50</v>
      </c>
      <c r="C73" s="95" t="s">
        <v>30</v>
      </c>
      <c r="D73" s="96" t="s">
        <v>322</v>
      </c>
      <c r="E73" s="96" t="s">
        <v>323</v>
      </c>
      <c r="F73" s="98" t="s">
        <v>302</v>
      </c>
    </row>
    <row r="74" spans="1:6" x14ac:dyDescent="0.35">
      <c r="A74" s="88">
        <v>45387</v>
      </c>
      <c r="B74" s="93">
        <v>50</v>
      </c>
      <c r="C74" s="95" t="s">
        <v>30</v>
      </c>
      <c r="D74" s="96" t="s">
        <v>324</v>
      </c>
      <c r="E74" s="96" t="s">
        <v>325</v>
      </c>
      <c r="F74" s="98" t="s">
        <v>302</v>
      </c>
    </row>
    <row r="75" spans="1:6" x14ac:dyDescent="0.35">
      <c r="A75" s="88">
        <v>45389</v>
      </c>
      <c r="B75" s="93">
        <v>50</v>
      </c>
      <c r="C75" s="95" t="s">
        <v>30</v>
      </c>
      <c r="D75" s="96" t="s">
        <v>326</v>
      </c>
      <c r="E75" s="96" t="s">
        <v>327</v>
      </c>
      <c r="F75" s="98" t="s">
        <v>302</v>
      </c>
    </row>
    <row r="76" spans="1:6" x14ac:dyDescent="0.35">
      <c r="A76" s="88">
        <v>45398</v>
      </c>
      <c r="B76" s="93">
        <v>50</v>
      </c>
      <c r="C76" s="95" t="s">
        <v>30</v>
      </c>
      <c r="D76" s="96" t="s">
        <v>328</v>
      </c>
      <c r="E76" s="96" t="s">
        <v>329</v>
      </c>
      <c r="F76" s="98" t="s">
        <v>302</v>
      </c>
    </row>
    <row r="77" spans="1:6" x14ac:dyDescent="0.35">
      <c r="A77" s="88">
        <v>45399</v>
      </c>
      <c r="B77" s="93">
        <v>50</v>
      </c>
      <c r="C77" s="95" t="s">
        <v>30</v>
      </c>
      <c r="D77" s="96" t="s">
        <v>330</v>
      </c>
      <c r="E77" s="96" t="s">
        <v>331</v>
      </c>
      <c r="F77" s="98" t="s">
        <v>302</v>
      </c>
    </row>
    <row r="78" spans="1:6" x14ac:dyDescent="0.35">
      <c r="A78" s="88">
        <v>45419</v>
      </c>
      <c r="B78" s="93">
        <v>100</v>
      </c>
      <c r="C78" s="95" t="s">
        <v>30</v>
      </c>
      <c r="D78" s="96" t="s">
        <v>332</v>
      </c>
      <c r="E78" s="96" t="s">
        <v>333</v>
      </c>
      <c r="F78" s="98" t="s">
        <v>302</v>
      </c>
    </row>
    <row r="79" spans="1:6" x14ac:dyDescent="0.35">
      <c r="A79" s="88">
        <v>45421</v>
      </c>
      <c r="B79" s="93">
        <v>175</v>
      </c>
      <c r="C79" s="95" t="s">
        <v>30</v>
      </c>
      <c r="D79" s="96" t="s">
        <v>334</v>
      </c>
      <c r="E79" s="96" t="s">
        <v>335</v>
      </c>
      <c r="F79" s="98" t="s">
        <v>302</v>
      </c>
    </row>
    <row r="80" spans="1:6" x14ac:dyDescent="0.35">
      <c r="A80" s="88">
        <v>45412</v>
      </c>
      <c r="B80" s="93">
        <v>300</v>
      </c>
      <c r="C80" s="95" t="s">
        <v>30</v>
      </c>
      <c r="D80" s="96" t="s">
        <v>336</v>
      </c>
      <c r="E80" s="96" t="s">
        <v>337</v>
      </c>
      <c r="F80" s="98" t="s">
        <v>302</v>
      </c>
    </row>
    <row r="81" spans="1:6" x14ac:dyDescent="0.35">
      <c r="A81" s="88">
        <v>45453</v>
      </c>
      <c r="B81" s="93">
        <v>333.73</v>
      </c>
      <c r="C81" s="95" t="s">
        <v>30</v>
      </c>
      <c r="D81" s="96" t="s">
        <v>316</v>
      </c>
      <c r="E81" s="96" t="s">
        <v>338</v>
      </c>
      <c r="F81" s="98" t="s">
        <v>302</v>
      </c>
    </row>
    <row r="82" spans="1:6" x14ac:dyDescent="0.35">
      <c r="A82" s="88">
        <v>45393</v>
      </c>
      <c r="B82" s="93">
        <v>400</v>
      </c>
      <c r="C82" s="95" t="s">
        <v>30</v>
      </c>
      <c r="D82" s="96" t="s">
        <v>224</v>
      </c>
      <c r="E82" s="96" t="s">
        <v>339</v>
      </c>
      <c r="F82" s="98" t="s">
        <v>302</v>
      </c>
    </row>
    <row r="83" spans="1:6" x14ac:dyDescent="0.35">
      <c r="A83" s="88">
        <v>45398</v>
      </c>
      <c r="B83" s="93">
        <v>2000</v>
      </c>
      <c r="C83" s="95" t="s">
        <v>30</v>
      </c>
      <c r="D83" s="96" t="s">
        <v>340</v>
      </c>
      <c r="E83" s="96" t="s">
        <v>341</v>
      </c>
      <c r="F83" s="98" t="s">
        <v>302</v>
      </c>
    </row>
    <row r="84" spans="1:6" x14ac:dyDescent="0.35">
      <c r="A84" s="88">
        <v>45418</v>
      </c>
      <c r="B84" s="93">
        <v>3403.57</v>
      </c>
      <c r="C84" s="95" t="s">
        <v>30</v>
      </c>
      <c r="D84" s="96" t="s">
        <v>316</v>
      </c>
      <c r="E84" s="96" t="s">
        <v>342</v>
      </c>
      <c r="F84" s="98" t="s">
        <v>302</v>
      </c>
    </row>
    <row r="85" spans="1:6" x14ac:dyDescent="0.35">
      <c r="A85" s="88">
        <v>45577</v>
      </c>
      <c r="B85" s="94">
        <v>9000</v>
      </c>
      <c r="C85" s="95" t="s">
        <v>30</v>
      </c>
      <c r="D85" s="96" t="s">
        <v>166</v>
      </c>
      <c r="E85" s="96" t="s">
        <v>343</v>
      </c>
      <c r="F85" s="98" t="s">
        <v>302</v>
      </c>
    </row>
    <row r="86" spans="1:6" x14ac:dyDescent="0.35">
      <c r="A86" s="88"/>
      <c r="B86" s="92">
        <f>SUM(B62:B85)</f>
        <v>16286.76</v>
      </c>
      <c r="F86" s="98"/>
    </row>
    <row r="87" spans="1:6" x14ac:dyDescent="0.35">
      <c r="A87" s="88"/>
      <c r="B87" s="93"/>
      <c r="F87" s="98"/>
    </row>
    <row r="88" spans="1:6" x14ac:dyDescent="0.35">
      <c r="A88" s="88">
        <v>45535</v>
      </c>
      <c r="B88" s="93">
        <v>250</v>
      </c>
      <c r="C88" s="95" t="s">
        <v>30</v>
      </c>
      <c r="D88" s="96" t="s">
        <v>76</v>
      </c>
      <c r="E88" s="96" t="s">
        <v>232</v>
      </c>
      <c r="F88" s="95" t="s">
        <v>229</v>
      </c>
    </row>
    <row r="89" spans="1:6" x14ac:dyDescent="0.35">
      <c r="A89" s="88">
        <v>45412</v>
      </c>
      <c r="B89" s="94">
        <v>900</v>
      </c>
      <c r="C89" s="95" t="s">
        <v>30</v>
      </c>
      <c r="D89" s="96" t="s">
        <v>82</v>
      </c>
      <c r="E89" s="96" t="s">
        <v>231</v>
      </c>
      <c r="F89" s="95" t="s">
        <v>229</v>
      </c>
    </row>
    <row r="90" spans="1:6" x14ac:dyDescent="0.35">
      <c r="A90" s="88"/>
      <c r="B90" s="92">
        <f>SUM(B88:B89)</f>
        <v>1150</v>
      </c>
    </row>
    <row r="91" spans="1:6" x14ac:dyDescent="0.35">
      <c r="A91" s="88"/>
      <c r="B91" s="93"/>
    </row>
    <row r="92" spans="1:6" x14ac:dyDescent="0.35">
      <c r="A92" s="88">
        <v>45398</v>
      </c>
      <c r="B92" s="93">
        <v>25</v>
      </c>
      <c r="C92" s="95" t="s">
        <v>30</v>
      </c>
      <c r="D92" s="96" t="s">
        <v>41</v>
      </c>
      <c r="E92" s="96" t="s">
        <v>344</v>
      </c>
      <c r="F92" s="95" t="s">
        <v>345</v>
      </c>
    </row>
    <row r="93" spans="1:6" x14ac:dyDescent="0.35">
      <c r="A93" s="88">
        <v>45431</v>
      </c>
      <c r="B93" s="94">
        <v>150</v>
      </c>
      <c r="C93" s="95" t="s">
        <v>30</v>
      </c>
      <c r="D93" s="96" t="s">
        <v>346</v>
      </c>
      <c r="E93" s="96" t="s">
        <v>347</v>
      </c>
      <c r="F93" s="95" t="s">
        <v>345</v>
      </c>
    </row>
    <row r="94" spans="1:6" x14ac:dyDescent="0.35">
      <c r="A94" s="88"/>
      <c r="B94" s="92">
        <f>SUM(B92:B93)</f>
        <v>175</v>
      </c>
    </row>
    <row r="95" spans="1:6" x14ac:dyDescent="0.35">
      <c r="A95" s="88"/>
      <c r="B95" s="93"/>
    </row>
    <row r="96" spans="1:6" x14ac:dyDescent="0.35">
      <c r="A96" s="88">
        <v>45561</v>
      </c>
      <c r="B96" s="93">
        <v>50</v>
      </c>
      <c r="C96" s="95" t="s">
        <v>30</v>
      </c>
      <c r="D96" s="96" t="s">
        <v>76</v>
      </c>
      <c r="E96" s="96" t="s">
        <v>348</v>
      </c>
      <c r="F96" s="98" t="s">
        <v>349</v>
      </c>
    </row>
    <row r="97" spans="1:6" x14ac:dyDescent="0.35">
      <c r="A97" s="88">
        <v>45518</v>
      </c>
      <c r="B97" s="93">
        <v>20</v>
      </c>
      <c r="C97" s="95" t="s">
        <v>30</v>
      </c>
      <c r="D97" s="96" t="s">
        <v>286</v>
      </c>
      <c r="E97" s="96" t="s">
        <v>350</v>
      </c>
      <c r="F97" s="98" t="s">
        <v>349</v>
      </c>
    </row>
    <row r="98" spans="1:6" x14ac:dyDescent="0.35">
      <c r="A98" s="88">
        <v>45518</v>
      </c>
      <c r="B98" s="93">
        <v>25</v>
      </c>
      <c r="C98" s="95" t="s">
        <v>30</v>
      </c>
      <c r="D98" s="96" t="s">
        <v>351</v>
      </c>
      <c r="E98" s="96" t="s">
        <v>352</v>
      </c>
      <c r="F98" s="98" t="s">
        <v>349</v>
      </c>
    </row>
    <row r="99" spans="1:6" x14ac:dyDescent="0.35">
      <c r="A99" s="88">
        <v>45517</v>
      </c>
      <c r="B99" s="93">
        <v>50</v>
      </c>
      <c r="C99" s="95" t="s">
        <v>30</v>
      </c>
      <c r="D99" s="96" t="s">
        <v>353</v>
      </c>
      <c r="E99" s="96" t="s">
        <v>354</v>
      </c>
      <c r="F99" s="98" t="s">
        <v>349</v>
      </c>
    </row>
    <row r="100" spans="1:6" x14ac:dyDescent="0.35">
      <c r="A100" s="88">
        <v>45525</v>
      </c>
      <c r="B100" s="93">
        <v>50</v>
      </c>
      <c r="C100" s="95" t="s">
        <v>30</v>
      </c>
      <c r="D100" s="96" t="s">
        <v>355</v>
      </c>
      <c r="E100" s="96" t="s">
        <v>354</v>
      </c>
      <c r="F100" s="98" t="s">
        <v>349</v>
      </c>
    </row>
    <row r="101" spans="1:6" x14ac:dyDescent="0.35">
      <c r="A101" s="88">
        <v>45545</v>
      </c>
      <c r="B101" s="93">
        <v>50</v>
      </c>
      <c r="C101" s="95" t="s">
        <v>30</v>
      </c>
      <c r="D101" s="96" t="s">
        <v>181</v>
      </c>
      <c r="E101" s="96" t="s">
        <v>356</v>
      </c>
      <c r="F101" s="98" t="s">
        <v>349</v>
      </c>
    </row>
    <row r="102" spans="1:6" x14ac:dyDescent="0.35">
      <c r="A102" s="88">
        <v>45524</v>
      </c>
      <c r="B102" s="93">
        <v>52</v>
      </c>
      <c r="C102" s="95" t="s">
        <v>30</v>
      </c>
      <c r="D102" s="96" t="s">
        <v>357</v>
      </c>
      <c r="E102" s="96" t="s">
        <v>358</v>
      </c>
      <c r="F102" s="98" t="s">
        <v>349</v>
      </c>
    </row>
    <row r="103" spans="1:6" x14ac:dyDescent="0.35">
      <c r="A103" s="88">
        <v>45517</v>
      </c>
      <c r="B103" s="93">
        <v>100</v>
      </c>
      <c r="C103" s="95" t="s">
        <v>30</v>
      </c>
      <c r="D103" s="96" t="s">
        <v>359</v>
      </c>
      <c r="E103" s="96" t="s">
        <v>358</v>
      </c>
      <c r="F103" s="98" t="s">
        <v>349</v>
      </c>
    </row>
    <row r="104" spans="1:6" x14ac:dyDescent="0.35">
      <c r="A104" s="88">
        <v>45527</v>
      </c>
      <c r="B104" s="94">
        <v>100</v>
      </c>
      <c r="C104" s="95" t="s">
        <v>30</v>
      </c>
      <c r="D104" s="96" t="s">
        <v>82</v>
      </c>
      <c r="E104" s="96" t="s">
        <v>360</v>
      </c>
      <c r="F104" s="98" t="s">
        <v>349</v>
      </c>
    </row>
    <row r="105" spans="1:6" x14ac:dyDescent="0.35">
      <c r="A105" s="88"/>
      <c r="B105" s="92">
        <f>SUM(B96:B104)</f>
        <v>497</v>
      </c>
      <c r="F105" s="98"/>
    </row>
    <row r="106" spans="1:6" x14ac:dyDescent="0.35">
      <c r="A106" s="88"/>
      <c r="B106" s="93"/>
      <c r="F106" s="98"/>
    </row>
    <row r="107" spans="1:6" x14ac:dyDescent="0.35">
      <c r="A107" s="88">
        <v>45640</v>
      </c>
      <c r="B107" s="93">
        <v>20</v>
      </c>
      <c r="C107" s="95" t="s">
        <v>30</v>
      </c>
      <c r="D107" s="96" t="s">
        <v>84</v>
      </c>
      <c r="E107" s="96" t="s">
        <v>361</v>
      </c>
      <c r="F107" s="98" t="s">
        <v>233</v>
      </c>
    </row>
    <row r="108" spans="1:6" x14ac:dyDescent="0.35">
      <c r="A108" s="88">
        <v>45640</v>
      </c>
      <c r="B108" s="93">
        <v>20</v>
      </c>
      <c r="C108" s="95" t="s">
        <v>30</v>
      </c>
      <c r="D108" s="96" t="s">
        <v>226</v>
      </c>
      <c r="E108" s="96" t="s">
        <v>362</v>
      </c>
      <c r="F108" s="98" t="s">
        <v>233</v>
      </c>
    </row>
    <row r="109" spans="1:6" x14ac:dyDescent="0.35">
      <c r="A109" s="88">
        <v>45640</v>
      </c>
      <c r="B109" s="93">
        <v>20</v>
      </c>
      <c r="C109" s="95" t="s">
        <v>30</v>
      </c>
      <c r="D109" s="96" t="s">
        <v>34</v>
      </c>
      <c r="E109" s="96" t="s">
        <v>363</v>
      </c>
      <c r="F109" s="98" t="s">
        <v>233</v>
      </c>
    </row>
    <row r="110" spans="1:6" x14ac:dyDescent="0.35">
      <c r="A110" s="88">
        <v>45640</v>
      </c>
      <c r="B110" s="93">
        <v>20</v>
      </c>
      <c r="C110" s="95" t="s">
        <v>30</v>
      </c>
      <c r="D110" s="96" t="s">
        <v>82</v>
      </c>
      <c r="E110" s="96" t="s">
        <v>235</v>
      </c>
      <c r="F110" s="98" t="s">
        <v>233</v>
      </c>
    </row>
    <row r="111" spans="1:6" x14ac:dyDescent="0.35">
      <c r="A111" s="88">
        <v>45640</v>
      </c>
      <c r="B111" s="93">
        <v>20</v>
      </c>
      <c r="C111" s="95" t="s">
        <v>30</v>
      </c>
      <c r="D111" s="96" t="s">
        <v>364</v>
      </c>
      <c r="E111" s="96" t="s">
        <v>235</v>
      </c>
      <c r="F111" s="98" t="s">
        <v>233</v>
      </c>
    </row>
    <row r="112" spans="1:6" x14ac:dyDescent="0.35">
      <c r="A112" s="88">
        <v>45640</v>
      </c>
      <c r="B112" s="93">
        <v>20</v>
      </c>
      <c r="C112" s="95" t="s">
        <v>30</v>
      </c>
      <c r="D112" s="96" t="s">
        <v>365</v>
      </c>
      <c r="E112" s="96" t="s">
        <v>235</v>
      </c>
      <c r="F112" s="98" t="s">
        <v>233</v>
      </c>
    </row>
    <row r="113" spans="1:6" x14ac:dyDescent="0.35">
      <c r="A113" s="88">
        <v>45640</v>
      </c>
      <c r="B113" s="93">
        <v>20</v>
      </c>
      <c r="C113" s="95" t="s">
        <v>30</v>
      </c>
      <c r="D113" s="96" t="s">
        <v>172</v>
      </c>
      <c r="E113" s="96" t="s">
        <v>366</v>
      </c>
      <c r="F113" s="98" t="s">
        <v>233</v>
      </c>
    </row>
    <row r="114" spans="1:6" x14ac:dyDescent="0.35">
      <c r="A114" s="88">
        <v>45640</v>
      </c>
      <c r="B114" s="93">
        <v>20</v>
      </c>
      <c r="C114" s="95" t="s">
        <v>30</v>
      </c>
      <c r="D114" s="96" t="s">
        <v>367</v>
      </c>
      <c r="E114" s="96" t="s">
        <v>235</v>
      </c>
      <c r="F114" s="98" t="s">
        <v>233</v>
      </c>
    </row>
    <row r="115" spans="1:6" x14ac:dyDescent="0.35">
      <c r="A115" s="88">
        <v>45640</v>
      </c>
      <c r="B115" s="93">
        <v>20</v>
      </c>
      <c r="C115" s="95" t="s">
        <v>30</v>
      </c>
      <c r="D115" s="96" t="s">
        <v>41</v>
      </c>
      <c r="E115" s="96" t="s">
        <v>235</v>
      </c>
      <c r="F115" s="98" t="s">
        <v>233</v>
      </c>
    </row>
    <row r="116" spans="1:6" x14ac:dyDescent="0.35">
      <c r="A116" s="88">
        <v>45640</v>
      </c>
      <c r="B116" s="93">
        <v>20</v>
      </c>
      <c r="C116" s="95" t="s">
        <v>30</v>
      </c>
      <c r="D116" s="96" t="s">
        <v>368</v>
      </c>
      <c r="E116" s="96" t="s">
        <v>369</v>
      </c>
      <c r="F116" s="98" t="s">
        <v>233</v>
      </c>
    </row>
    <row r="117" spans="1:6" x14ac:dyDescent="0.35">
      <c r="A117" s="88">
        <v>45640</v>
      </c>
      <c r="B117" s="93">
        <v>20</v>
      </c>
      <c r="C117" s="95" t="s">
        <v>30</v>
      </c>
      <c r="D117" s="96" t="s">
        <v>226</v>
      </c>
      <c r="E117" s="96" t="s">
        <v>235</v>
      </c>
      <c r="F117" s="98" t="s">
        <v>233</v>
      </c>
    </row>
    <row r="118" spans="1:6" x14ac:dyDescent="0.35">
      <c r="A118" s="88">
        <v>45640</v>
      </c>
      <c r="B118" s="93">
        <v>20</v>
      </c>
      <c r="C118" s="95" t="s">
        <v>30</v>
      </c>
      <c r="D118" s="96" t="s">
        <v>370</v>
      </c>
      <c r="E118" s="96" t="s">
        <v>235</v>
      </c>
      <c r="F118" s="98" t="s">
        <v>233</v>
      </c>
    </row>
    <row r="119" spans="1:6" x14ac:dyDescent="0.35">
      <c r="A119" s="88">
        <v>45640</v>
      </c>
      <c r="B119" s="93">
        <v>20</v>
      </c>
      <c r="C119" s="95" t="s">
        <v>30</v>
      </c>
      <c r="D119" s="96" t="s">
        <v>371</v>
      </c>
      <c r="E119" s="96" t="s">
        <v>235</v>
      </c>
      <c r="F119" s="98" t="s">
        <v>233</v>
      </c>
    </row>
    <row r="120" spans="1:6" x14ac:dyDescent="0.35">
      <c r="A120" s="88">
        <v>45640</v>
      </c>
      <c r="B120" s="93">
        <v>20</v>
      </c>
      <c r="C120" s="95" t="s">
        <v>30</v>
      </c>
      <c r="D120" s="96" t="s">
        <v>45</v>
      </c>
      <c r="E120" s="96" t="s">
        <v>235</v>
      </c>
      <c r="F120" s="98" t="s">
        <v>233</v>
      </c>
    </row>
    <row r="121" spans="1:6" x14ac:dyDescent="0.35">
      <c r="A121" s="88">
        <v>45640</v>
      </c>
      <c r="B121" s="93">
        <v>20</v>
      </c>
      <c r="C121" s="95" t="s">
        <v>30</v>
      </c>
      <c r="D121" s="96" t="s">
        <v>171</v>
      </c>
      <c r="E121" s="96" t="s">
        <v>372</v>
      </c>
      <c r="F121" s="98" t="s">
        <v>233</v>
      </c>
    </row>
    <row r="122" spans="1:6" x14ac:dyDescent="0.35">
      <c r="A122" s="88">
        <v>45640</v>
      </c>
      <c r="B122" s="93">
        <v>20</v>
      </c>
      <c r="C122" s="95" t="s">
        <v>30</v>
      </c>
      <c r="D122" s="96" t="s">
        <v>373</v>
      </c>
      <c r="E122" s="96" t="s">
        <v>374</v>
      </c>
      <c r="F122" s="98" t="s">
        <v>233</v>
      </c>
    </row>
    <row r="123" spans="1:6" x14ac:dyDescent="0.35">
      <c r="A123" s="88">
        <v>45641</v>
      </c>
      <c r="B123" s="93">
        <v>20</v>
      </c>
      <c r="C123" s="95" t="s">
        <v>30</v>
      </c>
      <c r="D123" s="96" t="s">
        <v>375</v>
      </c>
      <c r="E123" s="96" t="s">
        <v>168</v>
      </c>
      <c r="F123" s="98" t="s">
        <v>233</v>
      </c>
    </row>
    <row r="124" spans="1:6" x14ac:dyDescent="0.35">
      <c r="A124" s="88">
        <v>45641</v>
      </c>
      <c r="B124" s="93">
        <v>20</v>
      </c>
      <c r="C124" s="95" t="s">
        <v>30</v>
      </c>
      <c r="D124" s="96" t="s">
        <v>230</v>
      </c>
      <c r="E124" s="96" t="s">
        <v>235</v>
      </c>
      <c r="F124" s="98" t="s">
        <v>233</v>
      </c>
    </row>
    <row r="125" spans="1:6" x14ac:dyDescent="0.35">
      <c r="A125" s="88">
        <v>45641</v>
      </c>
      <c r="B125" s="93">
        <v>20</v>
      </c>
      <c r="C125" s="95" t="s">
        <v>30</v>
      </c>
      <c r="D125" s="96" t="s">
        <v>376</v>
      </c>
      <c r="E125" s="96" t="s">
        <v>369</v>
      </c>
      <c r="F125" s="98" t="s">
        <v>233</v>
      </c>
    </row>
    <row r="126" spans="1:6" x14ac:dyDescent="0.35">
      <c r="A126" s="88">
        <v>45641</v>
      </c>
      <c r="B126" s="93">
        <v>20</v>
      </c>
      <c r="C126" s="95" t="s">
        <v>30</v>
      </c>
      <c r="D126" s="96" t="s">
        <v>377</v>
      </c>
      <c r="E126" s="96" t="s">
        <v>235</v>
      </c>
      <c r="F126" s="98" t="s">
        <v>233</v>
      </c>
    </row>
    <row r="127" spans="1:6" x14ac:dyDescent="0.35">
      <c r="A127" s="88">
        <v>45641</v>
      </c>
      <c r="B127" s="93">
        <v>20</v>
      </c>
      <c r="C127" s="95" t="s">
        <v>30</v>
      </c>
      <c r="D127" s="96" t="s">
        <v>73</v>
      </c>
      <c r="E127" s="96" t="s">
        <v>369</v>
      </c>
      <c r="F127" s="98" t="s">
        <v>233</v>
      </c>
    </row>
    <row r="128" spans="1:6" x14ac:dyDescent="0.35">
      <c r="A128" s="88">
        <v>45641</v>
      </c>
      <c r="B128" s="93">
        <v>20</v>
      </c>
      <c r="C128" s="95" t="s">
        <v>30</v>
      </c>
      <c r="D128" s="96" t="s">
        <v>42</v>
      </c>
      <c r="E128" s="96" t="s">
        <v>235</v>
      </c>
      <c r="F128" s="98" t="s">
        <v>233</v>
      </c>
    </row>
    <row r="129" spans="1:6" x14ac:dyDescent="0.35">
      <c r="A129" s="88">
        <v>45641</v>
      </c>
      <c r="B129" s="93">
        <v>20</v>
      </c>
      <c r="C129" s="95" t="s">
        <v>30</v>
      </c>
      <c r="D129" s="96" t="s">
        <v>378</v>
      </c>
      <c r="E129" s="96" t="s">
        <v>366</v>
      </c>
      <c r="F129" s="98" t="s">
        <v>233</v>
      </c>
    </row>
    <row r="130" spans="1:6" x14ac:dyDescent="0.35">
      <c r="A130" s="88">
        <v>45641</v>
      </c>
      <c r="B130" s="93">
        <v>20</v>
      </c>
      <c r="C130" s="95" t="s">
        <v>30</v>
      </c>
      <c r="D130" s="96" t="s">
        <v>234</v>
      </c>
      <c r="E130" s="96" t="s">
        <v>369</v>
      </c>
      <c r="F130" s="98" t="s">
        <v>233</v>
      </c>
    </row>
    <row r="131" spans="1:6" x14ac:dyDescent="0.35">
      <c r="A131" s="88">
        <v>45641</v>
      </c>
      <c r="B131" s="93">
        <v>20</v>
      </c>
      <c r="C131" s="95" t="s">
        <v>30</v>
      </c>
      <c r="D131" s="96" t="s">
        <v>379</v>
      </c>
      <c r="E131" s="96" t="s">
        <v>235</v>
      </c>
      <c r="F131" s="98" t="s">
        <v>233</v>
      </c>
    </row>
    <row r="132" spans="1:6" x14ac:dyDescent="0.35">
      <c r="A132" s="88">
        <v>45641</v>
      </c>
      <c r="B132" s="93">
        <v>20</v>
      </c>
      <c r="C132" s="95" t="s">
        <v>30</v>
      </c>
      <c r="D132" s="96" t="s">
        <v>380</v>
      </c>
      <c r="E132" s="96" t="s">
        <v>235</v>
      </c>
      <c r="F132" s="98" t="s">
        <v>233</v>
      </c>
    </row>
    <row r="133" spans="1:6" x14ac:dyDescent="0.35">
      <c r="A133" s="88">
        <v>45641</v>
      </c>
      <c r="B133" s="93">
        <v>20</v>
      </c>
      <c r="C133" s="95" t="s">
        <v>30</v>
      </c>
      <c r="D133" s="96" t="s">
        <v>381</v>
      </c>
      <c r="E133" s="96" t="s">
        <v>235</v>
      </c>
      <c r="F133" s="98" t="s">
        <v>233</v>
      </c>
    </row>
    <row r="134" spans="1:6" x14ac:dyDescent="0.35">
      <c r="A134" s="88">
        <v>45641</v>
      </c>
      <c r="B134" s="93">
        <v>20</v>
      </c>
      <c r="C134" s="95" t="s">
        <v>30</v>
      </c>
      <c r="D134" s="96" t="s">
        <v>382</v>
      </c>
      <c r="E134" s="96" t="s">
        <v>383</v>
      </c>
      <c r="F134" s="98" t="s">
        <v>233</v>
      </c>
    </row>
    <row r="135" spans="1:6" x14ac:dyDescent="0.35">
      <c r="A135" s="88">
        <v>45641</v>
      </c>
      <c r="B135" s="93">
        <v>20</v>
      </c>
      <c r="C135" s="95" t="s">
        <v>30</v>
      </c>
      <c r="D135" s="96" t="s">
        <v>384</v>
      </c>
      <c r="E135" s="96" t="s">
        <v>385</v>
      </c>
      <c r="F135" s="98" t="s">
        <v>233</v>
      </c>
    </row>
    <row r="136" spans="1:6" x14ac:dyDescent="0.35">
      <c r="A136" s="88">
        <v>45641</v>
      </c>
      <c r="B136" s="93">
        <v>20</v>
      </c>
      <c r="C136" s="95" t="s">
        <v>30</v>
      </c>
      <c r="D136" s="96" t="s">
        <v>173</v>
      </c>
      <c r="E136" s="96" t="s">
        <v>386</v>
      </c>
      <c r="F136" s="98" t="s">
        <v>233</v>
      </c>
    </row>
    <row r="137" spans="1:6" x14ac:dyDescent="0.35">
      <c r="A137" s="88">
        <v>45642</v>
      </c>
      <c r="B137" s="93">
        <v>20</v>
      </c>
      <c r="C137" s="95" t="s">
        <v>30</v>
      </c>
      <c r="D137" s="96" t="s">
        <v>167</v>
      </c>
      <c r="E137" s="96" t="s">
        <v>387</v>
      </c>
      <c r="F137" s="98" t="s">
        <v>233</v>
      </c>
    </row>
    <row r="138" spans="1:6" x14ac:dyDescent="0.35">
      <c r="A138" s="88">
        <v>45642</v>
      </c>
      <c r="B138" s="93">
        <v>20</v>
      </c>
      <c r="C138" s="95" t="s">
        <v>30</v>
      </c>
      <c r="D138" s="96" t="s">
        <v>388</v>
      </c>
      <c r="E138" s="96" t="s">
        <v>241</v>
      </c>
      <c r="F138" s="98" t="s">
        <v>233</v>
      </c>
    </row>
    <row r="139" spans="1:6" x14ac:dyDescent="0.35">
      <c r="A139" s="88">
        <v>45642</v>
      </c>
      <c r="B139" s="93">
        <v>20</v>
      </c>
      <c r="C139" s="95" t="s">
        <v>30</v>
      </c>
      <c r="D139" s="96" t="s">
        <v>389</v>
      </c>
      <c r="E139" s="96" t="s">
        <v>369</v>
      </c>
      <c r="F139" s="98" t="s">
        <v>233</v>
      </c>
    </row>
    <row r="140" spans="1:6" x14ac:dyDescent="0.35">
      <c r="A140" s="88">
        <v>45642</v>
      </c>
      <c r="B140" s="93">
        <v>20</v>
      </c>
      <c r="C140" s="95" t="s">
        <v>30</v>
      </c>
      <c r="D140" s="96" t="s">
        <v>176</v>
      </c>
      <c r="E140" s="96" t="s">
        <v>235</v>
      </c>
      <c r="F140" s="98" t="s">
        <v>233</v>
      </c>
    </row>
    <row r="141" spans="1:6" x14ac:dyDescent="0.35">
      <c r="A141" s="88">
        <v>45642</v>
      </c>
      <c r="B141" s="93">
        <v>20</v>
      </c>
      <c r="C141" s="95" t="s">
        <v>30</v>
      </c>
      <c r="D141" s="96" t="s">
        <v>353</v>
      </c>
      <c r="E141" s="96" t="s">
        <v>235</v>
      </c>
      <c r="F141" s="98" t="s">
        <v>233</v>
      </c>
    </row>
    <row r="142" spans="1:6" x14ac:dyDescent="0.35">
      <c r="A142" s="88">
        <v>45642</v>
      </c>
      <c r="B142" s="93">
        <v>20</v>
      </c>
      <c r="C142" s="95" t="s">
        <v>30</v>
      </c>
      <c r="D142" s="96" t="s">
        <v>177</v>
      </c>
      <c r="E142" s="96" t="s">
        <v>235</v>
      </c>
      <c r="F142" s="98" t="s">
        <v>233</v>
      </c>
    </row>
    <row r="143" spans="1:6" x14ac:dyDescent="0.35">
      <c r="A143" s="88">
        <v>45642</v>
      </c>
      <c r="B143" s="93">
        <v>20</v>
      </c>
      <c r="C143" s="95" t="s">
        <v>30</v>
      </c>
      <c r="D143" s="96" t="s">
        <v>185</v>
      </c>
      <c r="E143" s="96" t="s">
        <v>235</v>
      </c>
      <c r="F143" s="98" t="s">
        <v>233</v>
      </c>
    </row>
    <row r="144" spans="1:6" x14ac:dyDescent="0.35">
      <c r="A144" s="88">
        <v>45642</v>
      </c>
      <c r="B144" s="93">
        <v>20</v>
      </c>
      <c r="C144" s="95" t="s">
        <v>30</v>
      </c>
      <c r="D144" s="96" t="s">
        <v>390</v>
      </c>
      <c r="E144" s="96" t="s">
        <v>369</v>
      </c>
      <c r="F144" s="98" t="s">
        <v>233</v>
      </c>
    </row>
    <row r="145" spans="1:6" x14ac:dyDescent="0.35">
      <c r="A145" s="88">
        <v>45642</v>
      </c>
      <c r="B145" s="93">
        <v>20</v>
      </c>
      <c r="C145" s="95" t="s">
        <v>30</v>
      </c>
      <c r="D145" s="96" t="s">
        <v>351</v>
      </c>
      <c r="E145" s="96" t="s">
        <v>235</v>
      </c>
      <c r="F145" s="98" t="s">
        <v>233</v>
      </c>
    </row>
    <row r="146" spans="1:6" x14ac:dyDescent="0.35">
      <c r="A146" s="88">
        <v>45642</v>
      </c>
      <c r="B146" s="93">
        <v>20</v>
      </c>
      <c r="C146" s="95" t="s">
        <v>30</v>
      </c>
      <c r="D146" s="96" t="s">
        <v>75</v>
      </c>
      <c r="E146" s="96" t="s">
        <v>235</v>
      </c>
      <c r="F146" s="98" t="s">
        <v>233</v>
      </c>
    </row>
    <row r="147" spans="1:6" x14ac:dyDescent="0.35">
      <c r="A147" s="88">
        <v>45642</v>
      </c>
      <c r="B147" s="93">
        <v>20</v>
      </c>
      <c r="C147" s="95" t="s">
        <v>30</v>
      </c>
      <c r="D147" s="96" t="s">
        <v>391</v>
      </c>
      <c r="F147" s="98" t="s">
        <v>233</v>
      </c>
    </row>
    <row r="148" spans="1:6" x14ac:dyDescent="0.35">
      <c r="A148" s="88">
        <v>45643</v>
      </c>
      <c r="B148" s="93">
        <v>20</v>
      </c>
      <c r="C148" s="95" t="s">
        <v>30</v>
      </c>
      <c r="D148" s="96" t="s">
        <v>228</v>
      </c>
      <c r="E148" s="96" t="s">
        <v>235</v>
      </c>
      <c r="F148" s="98" t="s">
        <v>233</v>
      </c>
    </row>
    <row r="149" spans="1:6" x14ac:dyDescent="0.35">
      <c r="A149" s="88">
        <v>45643</v>
      </c>
      <c r="B149" s="93">
        <v>20</v>
      </c>
      <c r="C149" s="95" t="s">
        <v>30</v>
      </c>
      <c r="D149" s="96" t="s">
        <v>80</v>
      </c>
      <c r="E149" s="96" t="s">
        <v>235</v>
      </c>
      <c r="F149" s="98" t="s">
        <v>233</v>
      </c>
    </row>
    <row r="150" spans="1:6" x14ac:dyDescent="0.35">
      <c r="A150" s="88">
        <v>45643</v>
      </c>
      <c r="B150" s="93">
        <v>20</v>
      </c>
      <c r="C150" s="95" t="s">
        <v>30</v>
      </c>
      <c r="D150" s="96" t="s">
        <v>392</v>
      </c>
      <c r="E150" s="96" t="s">
        <v>366</v>
      </c>
      <c r="F150" s="98" t="s">
        <v>233</v>
      </c>
    </row>
    <row r="151" spans="1:6" x14ac:dyDescent="0.35">
      <c r="A151" s="88">
        <v>45644</v>
      </c>
      <c r="B151" s="93">
        <v>20</v>
      </c>
      <c r="C151" s="95" t="s">
        <v>30</v>
      </c>
      <c r="D151" s="96" t="s">
        <v>175</v>
      </c>
      <c r="E151" s="96" t="s">
        <v>366</v>
      </c>
      <c r="F151" s="98" t="s">
        <v>233</v>
      </c>
    </row>
    <row r="152" spans="1:6" x14ac:dyDescent="0.35">
      <c r="A152" s="88">
        <v>45645</v>
      </c>
      <c r="B152" s="93">
        <v>20</v>
      </c>
      <c r="C152" s="95" t="s">
        <v>30</v>
      </c>
      <c r="D152" s="96" t="s">
        <v>393</v>
      </c>
      <c r="E152" s="96" t="s">
        <v>235</v>
      </c>
      <c r="F152" s="98" t="s">
        <v>233</v>
      </c>
    </row>
    <row r="153" spans="1:6" x14ac:dyDescent="0.35">
      <c r="A153" s="88">
        <v>45645</v>
      </c>
      <c r="B153" s="93">
        <v>20</v>
      </c>
      <c r="C153" s="95" t="s">
        <v>30</v>
      </c>
      <c r="D153" s="96" t="s">
        <v>394</v>
      </c>
      <c r="E153" s="96" t="s">
        <v>366</v>
      </c>
      <c r="F153" s="98" t="s">
        <v>233</v>
      </c>
    </row>
    <row r="154" spans="1:6" x14ac:dyDescent="0.35">
      <c r="A154" s="88">
        <v>45646</v>
      </c>
      <c r="B154" s="93">
        <v>20</v>
      </c>
      <c r="C154" s="95" t="s">
        <v>30</v>
      </c>
      <c r="D154" s="96" t="s">
        <v>395</v>
      </c>
      <c r="E154" s="96" t="s">
        <v>235</v>
      </c>
      <c r="F154" s="98" t="s">
        <v>233</v>
      </c>
    </row>
    <row r="155" spans="1:6" x14ac:dyDescent="0.35">
      <c r="A155" s="88">
        <v>45646</v>
      </c>
      <c r="B155" s="93">
        <v>20</v>
      </c>
      <c r="C155" s="95" t="s">
        <v>30</v>
      </c>
      <c r="D155" s="96" t="s">
        <v>396</v>
      </c>
      <c r="E155" s="96" t="s">
        <v>235</v>
      </c>
      <c r="F155" s="98" t="s">
        <v>233</v>
      </c>
    </row>
    <row r="156" spans="1:6" x14ac:dyDescent="0.35">
      <c r="A156" s="88">
        <v>45647</v>
      </c>
      <c r="B156" s="93">
        <v>20</v>
      </c>
      <c r="C156" s="95" t="s">
        <v>30</v>
      </c>
      <c r="D156" s="96" t="s">
        <v>180</v>
      </c>
      <c r="E156" s="96" t="s">
        <v>235</v>
      </c>
      <c r="F156" s="98" t="s">
        <v>233</v>
      </c>
    </row>
    <row r="157" spans="1:6" x14ac:dyDescent="0.35">
      <c r="A157" s="88">
        <v>45648</v>
      </c>
      <c r="B157" s="93">
        <v>20</v>
      </c>
      <c r="C157" s="95" t="s">
        <v>30</v>
      </c>
      <c r="D157" s="96" t="s">
        <v>397</v>
      </c>
      <c r="E157" s="96" t="s">
        <v>235</v>
      </c>
      <c r="F157" s="98" t="s">
        <v>233</v>
      </c>
    </row>
    <row r="158" spans="1:6" x14ac:dyDescent="0.35">
      <c r="A158" s="88">
        <v>45648</v>
      </c>
      <c r="B158" s="93">
        <v>20</v>
      </c>
      <c r="C158" s="95" t="s">
        <v>30</v>
      </c>
      <c r="D158" s="96" t="s">
        <v>398</v>
      </c>
      <c r="F158" s="98" t="s">
        <v>233</v>
      </c>
    </row>
    <row r="159" spans="1:6" x14ac:dyDescent="0.35">
      <c r="A159" s="88">
        <v>45649</v>
      </c>
      <c r="B159" s="93">
        <v>20</v>
      </c>
      <c r="C159" s="95" t="s">
        <v>30</v>
      </c>
      <c r="D159" s="96" t="s">
        <v>399</v>
      </c>
      <c r="E159" s="96" t="s">
        <v>369</v>
      </c>
      <c r="F159" s="98" t="s">
        <v>233</v>
      </c>
    </row>
    <row r="160" spans="1:6" x14ac:dyDescent="0.35">
      <c r="A160" s="88">
        <v>45650</v>
      </c>
      <c r="B160" s="93">
        <v>20</v>
      </c>
      <c r="C160" s="95" t="s">
        <v>30</v>
      </c>
      <c r="D160" s="96" t="s">
        <v>400</v>
      </c>
      <c r="E160" s="96" t="s">
        <v>235</v>
      </c>
      <c r="F160" s="98" t="s">
        <v>233</v>
      </c>
    </row>
    <row r="161" spans="1:6" x14ac:dyDescent="0.35">
      <c r="A161" s="88">
        <v>45650</v>
      </c>
      <c r="B161" s="93">
        <v>20</v>
      </c>
      <c r="C161" s="95" t="s">
        <v>30</v>
      </c>
      <c r="D161" s="96" t="s">
        <v>179</v>
      </c>
      <c r="E161" s="96" t="s">
        <v>237</v>
      </c>
      <c r="F161" s="98" t="s">
        <v>233</v>
      </c>
    </row>
    <row r="162" spans="1:6" x14ac:dyDescent="0.35">
      <c r="A162" s="88">
        <v>45651</v>
      </c>
      <c r="B162" s="93">
        <v>20</v>
      </c>
      <c r="C162" s="95" t="s">
        <v>30</v>
      </c>
      <c r="D162" s="96" t="s">
        <v>401</v>
      </c>
      <c r="E162" s="96" t="s">
        <v>235</v>
      </c>
      <c r="F162" s="98" t="s">
        <v>233</v>
      </c>
    </row>
    <row r="163" spans="1:6" x14ac:dyDescent="0.35">
      <c r="A163" s="88">
        <v>45651</v>
      </c>
      <c r="B163" s="93">
        <v>20</v>
      </c>
      <c r="C163" s="95" t="s">
        <v>30</v>
      </c>
      <c r="D163" s="96" t="s">
        <v>402</v>
      </c>
      <c r="E163" s="96" t="s">
        <v>403</v>
      </c>
      <c r="F163" s="98" t="s">
        <v>233</v>
      </c>
    </row>
    <row r="164" spans="1:6" x14ac:dyDescent="0.35">
      <c r="A164" s="88">
        <v>45652</v>
      </c>
      <c r="B164" s="93">
        <v>20</v>
      </c>
      <c r="C164" s="95" t="s">
        <v>30</v>
      </c>
      <c r="D164" s="96" t="s">
        <v>404</v>
      </c>
      <c r="E164" s="96" t="s">
        <v>405</v>
      </c>
      <c r="F164" s="98" t="s">
        <v>233</v>
      </c>
    </row>
    <row r="165" spans="1:6" x14ac:dyDescent="0.35">
      <c r="A165" s="88">
        <v>45653</v>
      </c>
      <c r="B165" s="93">
        <v>20</v>
      </c>
      <c r="C165" s="95" t="s">
        <v>30</v>
      </c>
      <c r="D165" s="96" t="s">
        <v>406</v>
      </c>
      <c r="E165" s="96" t="s">
        <v>235</v>
      </c>
      <c r="F165" s="98" t="s">
        <v>233</v>
      </c>
    </row>
    <row r="166" spans="1:6" x14ac:dyDescent="0.35">
      <c r="A166" s="88">
        <v>45654</v>
      </c>
      <c r="B166" s="93">
        <v>20</v>
      </c>
      <c r="C166" s="95" t="s">
        <v>30</v>
      </c>
      <c r="D166" s="96" t="s">
        <v>174</v>
      </c>
      <c r="E166" s="96" t="s">
        <v>366</v>
      </c>
      <c r="F166" s="98" t="s">
        <v>233</v>
      </c>
    </row>
    <row r="167" spans="1:6" x14ac:dyDescent="0.35">
      <c r="A167" s="88">
        <v>45654</v>
      </c>
      <c r="B167" s="93">
        <v>20</v>
      </c>
      <c r="C167" s="95" t="s">
        <v>30</v>
      </c>
      <c r="D167" s="96" t="s">
        <v>407</v>
      </c>
      <c r="E167" s="96" t="s">
        <v>366</v>
      </c>
      <c r="F167" s="98" t="s">
        <v>233</v>
      </c>
    </row>
    <row r="168" spans="1:6" x14ac:dyDescent="0.35">
      <c r="A168" s="88">
        <v>45644</v>
      </c>
      <c r="B168" s="93">
        <v>25</v>
      </c>
      <c r="C168" s="95" t="s">
        <v>30</v>
      </c>
      <c r="D168" s="96" t="s">
        <v>408</v>
      </c>
      <c r="E168" s="96" t="s">
        <v>235</v>
      </c>
      <c r="F168" s="98" t="s">
        <v>233</v>
      </c>
    </row>
    <row r="169" spans="1:6" x14ac:dyDescent="0.35">
      <c r="A169" s="88">
        <v>45656</v>
      </c>
      <c r="B169" s="93">
        <v>25</v>
      </c>
      <c r="C169" s="95" t="s">
        <v>30</v>
      </c>
      <c r="D169" s="96" t="s">
        <v>409</v>
      </c>
      <c r="E169" s="96" t="s">
        <v>410</v>
      </c>
      <c r="F169" s="98" t="s">
        <v>233</v>
      </c>
    </row>
    <row r="170" spans="1:6" x14ac:dyDescent="0.35">
      <c r="A170" s="88">
        <v>45640</v>
      </c>
      <c r="B170" s="93">
        <v>40</v>
      </c>
      <c r="C170" s="95" t="s">
        <v>30</v>
      </c>
      <c r="D170" s="96" t="s">
        <v>31</v>
      </c>
      <c r="E170" s="96" t="s">
        <v>411</v>
      </c>
      <c r="F170" s="98" t="s">
        <v>233</v>
      </c>
    </row>
    <row r="171" spans="1:6" x14ac:dyDescent="0.35">
      <c r="A171" s="88">
        <v>45640</v>
      </c>
      <c r="B171" s="93">
        <v>40</v>
      </c>
      <c r="C171" s="95" t="s">
        <v>30</v>
      </c>
      <c r="D171" s="96" t="s">
        <v>412</v>
      </c>
      <c r="E171" s="96" t="s">
        <v>366</v>
      </c>
      <c r="F171" s="98" t="s">
        <v>233</v>
      </c>
    </row>
    <row r="172" spans="1:6" x14ac:dyDescent="0.35">
      <c r="A172" s="88">
        <v>45640</v>
      </c>
      <c r="B172" s="93">
        <v>40</v>
      </c>
      <c r="C172" s="95" t="s">
        <v>30</v>
      </c>
      <c r="D172" s="96" t="s">
        <v>413</v>
      </c>
      <c r="F172" s="98" t="s">
        <v>233</v>
      </c>
    </row>
    <row r="173" spans="1:6" x14ac:dyDescent="0.35">
      <c r="A173" s="88">
        <v>45641</v>
      </c>
      <c r="B173" s="93">
        <v>40</v>
      </c>
      <c r="C173" s="95" t="s">
        <v>30</v>
      </c>
      <c r="D173" s="96" t="s">
        <v>414</v>
      </c>
      <c r="E173" s="96" t="s">
        <v>235</v>
      </c>
      <c r="F173" s="98" t="s">
        <v>233</v>
      </c>
    </row>
    <row r="174" spans="1:6" x14ac:dyDescent="0.35">
      <c r="A174" s="88">
        <v>45642</v>
      </c>
      <c r="B174" s="93">
        <v>40</v>
      </c>
      <c r="C174" s="95" t="s">
        <v>30</v>
      </c>
      <c r="D174" s="96" t="s">
        <v>43</v>
      </c>
      <c r="E174" s="96" t="s">
        <v>235</v>
      </c>
      <c r="F174" s="98" t="s">
        <v>233</v>
      </c>
    </row>
    <row r="175" spans="1:6" x14ac:dyDescent="0.35">
      <c r="A175" s="88">
        <v>45642</v>
      </c>
      <c r="B175" s="93">
        <v>40</v>
      </c>
      <c r="C175" s="95" t="s">
        <v>30</v>
      </c>
      <c r="D175" s="96" t="s">
        <v>415</v>
      </c>
      <c r="E175" s="96" t="s">
        <v>416</v>
      </c>
      <c r="F175" s="98" t="s">
        <v>233</v>
      </c>
    </row>
    <row r="176" spans="1:6" x14ac:dyDescent="0.35">
      <c r="A176" s="88">
        <v>45642</v>
      </c>
      <c r="B176" s="93">
        <v>40</v>
      </c>
      <c r="C176" s="95" t="s">
        <v>30</v>
      </c>
      <c r="D176" s="96" t="s">
        <v>417</v>
      </c>
      <c r="E176" s="96" t="s">
        <v>418</v>
      </c>
      <c r="F176" s="98" t="s">
        <v>233</v>
      </c>
    </row>
    <row r="177" spans="1:6" x14ac:dyDescent="0.35">
      <c r="A177" s="88">
        <v>45643</v>
      </c>
      <c r="B177" s="93">
        <v>40</v>
      </c>
      <c r="C177" s="95" t="s">
        <v>30</v>
      </c>
      <c r="D177" s="96" t="s">
        <v>419</v>
      </c>
      <c r="E177" s="96" t="s">
        <v>168</v>
      </c>
      <c r="F177" s="98" t="s">
        <v>233</v>
      </c>
    </row>
    <row r="178" spans="1:6" x14ac:dyDescent="0.35">
      <c r="A178" s="88">
        <v>45645</v>
      </c>
      <c r="B178" s="93">
        <v>40</v>
      </c>
      <c r="C178" s="95" t="s">
        <v>30</v>
      </c>
      <c r="D178" s="96" t="s">
        <v>46</v>
      </c>
      <c r="E178" s="96" t="s">
        <v>420</v>
      </c>
      <c r="F178" s="98" t="s">
        <v>233</v>
      </c>
    </row>
    <row r="179" spans="1:6" x14ac:dyDescent="0.35">
      <c r="A179" s="88">
        <v>45645</v>
      </c>
      <c r="B179" s="93">
        <v>50</v>
      </c>
      <c r="C179" s="95" t="s">
        <v>30</v>
      </c>
      <c r="D179" s="96" t="s">
        <v>82</v>
      </c>
      <c r="E179" s="96" t="s">
        <v>421</v>
      </c>
      <c r="F179" s="98" t="s">
        <v>233</v>
      </c>
    </row>
    <row r="180" spans="1:6" x14ac:dyDescent="0.35">
      <c r="A180" s="88">
        <v>45641</v>
      </c>
      <c r="B180" s="93">
        <v>60</v>
      </c>
      <c r="C180" s="95" t="s">
        <v>30</v>
      </c>
      <c r="D180" s="96" t="s">
        <v>422</v>
      </c>
      <c r="E180" s="96" t="s">
        <v>235</v>
      </c>
      <c r="F180" s="98" t="s">
        <v>233</v>
      </c>
    </row>
    <row r="181" spans="1:6" x14ac:dyDescent="0.35">
      <c r="A181" s="88">
        <v>45642</v>
      </c>
      <c r="B181" s="93">
        <v>60</v>
      </c>
      <c r="C181" s="95" t="s">
        <v>30</v>
      </c>
      <c r="D181" s="96" t="s">
        <v>240</v>
      </c>
      <c r="E181" s="96" t="s">
        <v>423</v>
      </c>
      <c r="F181" s="98" t="s">
        <v>233</v>
      </c>
    </row>
    <row r="182" spans="1:6" x14ac:dyDescent="0.35">
      <c r="A182" s="88">
        <v>45640</v>
      </c>
      <c r="B182" s="93">
        <v>100</v>
      </c>
      <c r="C182" s="95" t="s">
        <v>30</v>
      </c>
      <c r="D182" s="96" t="s">
        <v>269</v>
      </c>
      <c r="E182" s="96" t="s">
        <v>424</v>
      </c>
      <c r="F182" s="98" t="s">
        <v>233</v>
      </c>
    </row>
    <row r="183" spans="1:6" x14ac:dyDescent="0.35">
      <c r="A183" s="88">
        <v>45641</v>
      </c>
      <c r="B183" s="93">
        <v>100</v>
      </c>
      <c r="C183" s="95" t="s">
        <v>30</v>
      </c>
      <c r="D183" s="96" t="s">
        <v>239</v>
      </c>
      <c r="E183" s="96" t="s">
        <v>235</v>
      </c>
      <c r="F183" s="98" t="s">
        <v>233</v>
      </c>
    </row>
    <row r="184" spans="1:6" x14ac:dyDescent="0.35">
      <c r="A184" s="88">
        <v>45641</v>
      </c>
      <c r="B184" s="93">
        <v>100</v>
      </c>
      <c r="C184" s="95" t="s">
        <v>30</v>
      </c>
      <c r="D184" s="96" t="s">
        <v>425</v>
      </c>
      <c r="E184" s="96" t="s">
        <v>235</v>
      </c>
      <c r="F184" s="98" t="s">
        <v>233</v>
      </c>
    </row>
    <row r="185" spans="1:6" x14ac:dyDescent="0.35">
      <c r="A185" s="88">
        <v>45642</v>
      </c>
      <c r="B185" s="93">
        <v>100</v>
      </c>
      <c r="C185" s="95" t="s">
        <v>30</v>
      </c>
      <c r="D185" s="96" t="s">
        <v>426</v>
      </c>
      <c r="E185" s="96" t="s">
        <v>366</v>
      </c>
      <c r="F185" s="98" t="s">
        <v>233</v>
      </c>
    </row>
    <row r="186" spans="1:6" x14ac:dyDescent="0.35">
      <c r="A186" s="88">
        <v>45643</v>
      </c>
      <c r="B186" s="93">
        <v>100</v>
      </c>
      <c r="C186" s="95" t="s">
        <v>30</v>
      </c>
      <c r="D186" s="96" t="s">
        <v>294</v>
      </c>
      <c r="E186" s="96" t="s">
        <v>427</v>
      </c>
      <c r="F186" s="98" t="s">
        <v>233</v>
      </c>
    </row>
    <row r="187" spans="1:6" x14ac:dyDescent="0.35">
      <c r="A187" s="88">
        <v>45644</v>
      </c>
      <c r="B187" s="93">
        <v>100</v>
      </c>
      <c r="C187" s="95" t="s">
        <v>30</v>
      </c>
      <c r="D187" s="96" t="s">
        <v>428</v>
      </c>
      <c r="E187" s="96" t="s">
        <v>429</v>
      </c>
      <c r="F187" s="98" t="s">
        <v>233</v>
      </c>
    </row>
    <row r="188" spans="1:6" x14ac:dyDescent="0.35">
      <c r="A188" s="88">
        <v>45646</v>
      </c>
      <c r="B188" s="93">
        <v>100</v>
      </c>
      <c r="C188" s="95" t="s">
        <v>30</v>
      </c>
      <c r="D188" s="96" t="s">
        <v>430</v>
      </c>
      <c r="E188" s="96" t="s">
        <v>431</v>
      </c>
      <c r="F188" s="98" t="s">
        <v>233</v>
      </c>
    </row>
    <row r="189" spans="1:6" x14ac:dyDescent="0.35">
      <c r="A189" s="88">
        <v>45641</v>
      </c>
      <c r="B189" s="93">
        <v>140</v>
      </c>
      <c r="C189" s="95" t="s">
        <v>30</v>
      </c>
      <c r="D189" s="96" t="s">
        <v>170</v>
      </c>
      <c r="E189" s="96" t="s">
        <v>432</v>
      </c>
      <c r="F189" s="98" t="s">
        <v>233</v>
      </c>
    </row>
    <row r="190" spans="1:6" x14ac:dyDescent="0.35">
      <c r="A190" s="88">
        <v>45640</v>
      </c>
      <c r="B190" s="94">
        <v>200</v>
      </c>
      <c r="C190" s="95" t="s">
        <v>30</v>
      </c>
      <c r="D190" s="96" t="s">
        <v>433</v>
      </c>
      <c r="E190" s="96" t="s">
        <v>421</v>
      </c>
      <c r="F190" s="98" t="s">
        <v>233</v>
      </c>
    </row>
    <row r="191" spans="1:6" x14ac:dyDescent="0.35">
      <c r="A191" s="88"/>
      <c r="B191" s="92">
        <f>SUM(B107:B190)</f>
        <v>2840</v>
      </c>
      <c r="F191" s="98"/>
    </row>
    <row r="192" spans="1:6" x14ac:dyDescent="0.35">
      <c r="A192" s="88"/>
      <c r="B192" s="93"/>
      <c r="F192" s="98"/>
    </row>
    <row r="193" spans="1:6" x14ac:dyDescent="0.35">
      <c r="A193" s="88">
        <v>45315</v>
      </c>
      <c r="B193" s="93">
        <v>1000</v>
      </c>
      <c r="C193" s="95" t="s">
        <v>30</v>
      </c>
      <c r="D193" s="96" t="s">
        <v>166</v>
      </c>
      <c r="E193" s="96" t="s">
        <v>434</v>
      </c>
      <c r="F193" s="99" t="s">
        <v>243</v>
      </c>
    </row>
    <row r="194" spans="1:6" x14ac:dyDescent="0.35">
      <c r="A194" s="88">
        <v>45314</v>
      </c>
      <c r="B194" s="93">
        <v>2000</v>
      </c>
      <c r="C194" s="95" t="s">
        <v>30</v>
      </c>
      <c r="D194" s="96" t="s">
        <v>166</v>
      </c>
      <c r="E194" s="96" t="s">
        <v>242</v>
      </c>
      <c r="F194" s="99" t="s">
        <v>243</v>
      </c>
    </row>
    <row r="195" spans="1:6" x14ac:dyDescent="0.35">
      <c r="A195" s="88">
        <v>45399</v>
      </c>
      <c r="B195" s="94">
        <v>10500</v>
      </c>
      <c r="C195" s="95" t="s">
        <v>30</v>
      </c>
      <c r="D195" s="96" t="s">
        <v>49</v>
      </c>
      <c r="E195" s="96" t="s">
        <v>435</v>
      </c>
      <c r="F195" s="99" t="s">
        <v>243</v>
      </c>
    </row>
    <row r="196" spans="1:6" x14ac:dyDescent="0.35">
      <c r="A196" s="88"/>
      <c r="B196" s="92">
        <f>SUM(B193:B195)</f>
        <v>13500</v>
      </c>
      <c r="F196" s="99"/>
    </row>
    <row r="197" spans="1:6" x14ac:dyDescent="0.35">
      <c r="A197" s="88"/>
      <c r="B197" s="93"/>
      <c r="F197" s="99"/>
    </row>
    <row r="198" spans="1:6" x14ac:dyDescent="0.35">
      <c r="A198" s="88">
        <v>45390</v>
      </c>
      <c r="B198" s="94">
        <f>1000</f>
        <v>1000</v>
      </c>
      <c r="C198" s="95" t="s">
        <v>30</v>
      </c>
      <c r="D198" s="96" t="s">
        <v>82</v>
      </c>
      <c r="E198" s="96" t="s">
        <v>436</v>
      </c>
      <c r="F198" s="95" t="s">
        <v>437</v>
      </c>
    </row>
    <row r="199" spans="1:6" x14ac:dyDescent="0.35">
      <c r="A199" s="88"/>
      <c r="B199" s="92">
        <f>SUM(B198)</f>
        <v>1000</v>
      </c>
    </row>
    <row r="200" spans="1:6" x14ac:dyDescent="0.35">
      <c r="A200" s="88"/>
      <c r="B200" s="93"/>
    </row>
    <row r="201" spans="1:6" x14ac:dyDescent="0.35">
      <c r="A201" s="88">
        <v>45372</v>
      </c>
      <c r="B201" s="93">
        <v>2000</v>
      </c>
      <c r="C201" s="95" t="s">
        <v>30</v>
      </c>
      <c r="D201" s="96" t="s">
        <v>82</v>
      </c>
      <c r="E201" s="96" t="s">
        <v>438</v>
      </c>
      <c r="F201" s="98" t="s">
        <v>213</v>
      </c>
    </row>
    <row r="202" spans="1:6" x14ac:dyDescent="0.35">
      <c r="A202" s="88">
        <v>45611</v>
      </c>
      <c r="B202" s="94">
        <v>3000</v>
      </c>
      <c r="C202" s="95" t="s">
        <v>30</v>
      </c>
      <c r="D202" s="96" t="s">
        <v>82</v>
      </c>
      <c r="E202" s="96" t="s">
        <v>439</v>
      </c>
      <c r="F202" s="97" t="s">
        <v>213</v>
      </c>
    </row>
    <row r="203" spans="1:6" x14ac:dyDescent="0.35">
      <c r="A203" s="88"/>
      <c r="B203" s="92">
        <f>SUM(B201:B202)</f>
        <v>5000</v>
      </c>
      <c r="F203" s="97"/>
    </row>
    <row r="204" spans="1:6" x14ac:dyDescent="0.35">
      <c r="A204" s="88"/>
      <c r="B204" s="93"/>
      <c r="F204" s="97"/>
    </row>
    <row r="205" spans="1:6" x14ac:dyDescent="0.35">
      <c r="A205" s="88">
        <v>45390</v>
      </c>
      <c r="B205" s="94">
        <v>1850</v>
      </c>
      <c r="C205" s="95" t="s">
        <v>30</v>
      </c>
      <c r="D205" s="96" t="s">
        <v>82</v>
      </c>
      <c r="E205" s="96" t="s">
        <v>436</v>
      </c>
      <c r="F205" s="95" t="s">
        <v>440</v>
      </c>
    </row>
    <row r="206" spans="1:6" x14ac:dyDescent="0.35">
      <c r="A206" s="88"/>
      <c r="B206" s="92">
        <f>SUM(B205)</f>
        <v>1850</v>
      </c>
    </row>
    <row r="207" spans="1:6" x14ac:dyDescent="0.35">
      <c r="A207" s="88"/>
      <c r="B207" s="93"/>
    </row>
    <row r="208" spans="1:6" x14ac:dyDescent="0.35">
      <c r="A208" s="88">
        <v>45399</v>
      </c>
      <c r="B208" s="93">
        <v>1900</v>
      </c>
      <c r="C208" s="95" t="s">
        <v>30</v>
      </c>
      <c r="D208" s="96" t="s">
        <v>49</v>
      </c>
      <c r="E208" s="96" t="s">
        <v>441</v>
      </c>
      <c r="F208" s="97" t="s">
        <v>50</v>
      </c>
    </row>
    <row r="209" spans="1:6" x14ac:dyDescent="0.35">
      <c r="A209" s="88">
        <v>45410</v>
      </c>
      <c r="B209" s="93">
        <v>190</v>
      </c>
      <c r="C209" s="95" t="s">
        <v>30</v>
      </c>
      <c r="D209" s="96" t="s">
        <v>42</v>
      </c>
      <c r="E209" s="96" t="s">
        <v>244</v>
      </c>
      <c r="F209" s="97" t="s">
        <v>50</v>
      </c>
    </row>
    <row r="210" spans="1:6" x14ac:dyDescent="0.35">
      <c r="A210" s="88">
        <v>45415</v>
      </c>
      <c r="B210" s="93">
        <v>190</v>
      </c>
      <c r="C210" s="95" t="s">
        <v>30</v>
      </c>
      <c r="D210" s="96" t="s">
        <v>31</v>
      </c>
      <c r="F210" s="97" t="s">
        <v>50</v>
      </c>
    </row>
    <row r="211" spans="1:6" x14ac:dyDescent="0.35">
      <c r="A211" s="88">
        <v>45432</v>
      </c>
      <c r="B211" s="93">
        <v>190</v>
      </c>
      <c r="C211" s="95" t="s">
        <v>30</v>
      </c>
      <c r="D211" s="96" t="s">
        <v>171</v>
      </c>
      <c r="E211" s="96" t="s">
        <v>245</v>
      </c>
      <c r="F211" s="97" t="s">
        <v>50</v>
      </c>
    </row>
    <row r="212" spans="1:6" x14ac:dyDescent="0.35">
      <c r="A212" s="88">
        <v>45443</v>
      </c>
      <c r="B212" s="93">
        <v>190</v>
      </c>
      <c r="C212" s="95" t="s">
        <v>30</v>
      </c>
      <c r="D212" s="96" t="s">
        <v>78</v>
      </c>
      <c r="E212" s="96" t="s">
        <v>79</v>
      </c>
      <c r="F212" s="97" t="s">
        <v>50</v>
      </c>
    </row>
    <row r="213" spans="1:6" x14ac:dyDescent="0.35">
      <c r="A213" s="88">
        <v>45446</v>
      </c>
      <c r="B213" s="93">
        <v>190</v>
      </c>
      <c r="C213" s="95" t="s">
        <v>30</v>
      </c>
      <c r="D213" s="96" t="s">
        <v>53</v>
      </c>
      <c r="E213" s="96" t="s">
        <v>54</v>
      </c>
      <c r="F213" s="97" t="s">
        <v>50</v>
      </c>
    </row>
    <row r="214" spans="1:6" x14ac:dyDescent="0.35">
      <c r="A214" s="88">
        <v>45498</v>
      </c>
      <c r="B214" s="93">
        <v>190</v>
      </c>
      <c r="C214" s="95" t="s">
        <v>30</v>
      </c>
      <c r="D214" s="96" t="s">
        <v>59</v>
      </c>
      <c r="E214" s="96" t="s">
        <v>60</v>
      </c>
      <c r="F214" s="97" t="s">
        <v>50</v>
      </c>
    </row>
    <row r="215" spans="1:6" x14ac:dyDescent="0.35">
      <c r="A215" s="88">
        <v>45505</v>
      </c>
      <c r="B215" s="93">
        <v>190</v>
      </c>
      <c r="C215" s="95" t="s">
        <v>30</v>
      </c>
      <c r="D215" s="96" t="s">
        <v>75</v>
      </c>
      <c r="E215" s="96" t="s">
        <v>61</v>
      </c>
      <c r="F215" s="97" t="s">
        <v>50</v>
      </c>
    </row>
    <row r="216" spans="1:6" x14ac:dyDescent="0.35">
      <c r="A216" s="88">
        <v>45505</v>
      </c>
      <c r="B216" s="93">
        <v>190</v>
      </c>
      <c r="C216" s="95" t="s">
        <v>30</v>
      </c>
      <c r="D216" s="96" t="s">
        <v>72</v>
      </c>
      <c r="E216" s="96" t="s">
        <v>184</v>
      </c>
      <c r="F216" s="97" t="s">
        <v>50</v>
      </c>
    </row>
    <row r="217" spans="1:6" x14ac:dyDescent="0.35">
      <c r="A217" s="88">
        <v>45528</v>
      </c>
      <c r="B217" s="93">
        <v>190</v>
      </c>
      <c r="C217" s="95" t="s">
        <v>30</v>
      </c>
      <c r="D217" s="96" t="s">
        <v>37</v>
      </c>
      <c r="E217" s="96" t="s">
        <v>442</v>
      </c>
      <c r="F217" s="97" t="s">
        <v>50</v>
      </c>
    </row>
    <row r="218" spans="1:6" x14ac:dyDescent="0.35">
      <c r="A218" s="88">
        <v>45557</v>
      </c>
      <c r="B218" s="93">
        <v>190</v>
      </c>
      <c r="C218" s="95" t="s">
        <v>30</v>
      </c>
      <c r="D218" s="96" t="s">
        <v>413</v>
      </c>
      <c r="E218" s="96" t="s">
        <v>61</v>
      </c>
      <c r="F218" s="97" t="s">
        <v>50</v>
      </c>
    </row>
    <row r="219" spans="1:6" x14ac:dyDescent="0.35">
      <c r="A219" s="88">
        <v>45588</v>
      </c>
      <c r="B219" s="93">
        <v>190</v>
      </c>
      <c r="C219" s="95" t="s">
        <v>30</v>
      </c>
      <c r="D219" s="96" t="s">
        <v>178</v>
      </c>
      <c r="E219" s="96" t="s">
        <v>443</v>
      </c>
      <c r="F219" s="97" t="s">
        <v>50</v>
      </c>
    </row>
    <row r="220" spans="1:6" x14ac:dyDescent="0.35">
      <c r="A220" s="88">
        <v>45636</v>
      </c>
      <c r="B220" s="93">
        <v>190</v>
      </c>
      <c r="C220" s="95" t="s">
        <v>30</v>
      </c>
      <c r="D220" s="96" t="s">
        <v>189</v>
      </c>
      <c r="E220" s="96" t="s">
        <v>444</v>
      </c>
      <c r="F220" s="97" t="s">
        <v>50</v>
      </c>
    </row>
    <row r="221" spans="1:6" x14ac:dyDescent="0.35">
      <c r="A221" s="88">
        <v>45652</v>
      </c>
      <c r="B221" s="93">
        <v>190</v>
      </c>
      <c r="C221" s="95" t="s">
        <v>30</v>
      </c>
      <c r="D221" s="96" t="s">
        <v>38</v>
      </c>
      <c r="E221" s="96" t="s">
        <v>445</v>
      </c>
      <c r="F221" s="97" t="s">
        <v>50</v>
      </c>
    </row>
    <row r="222" spans="1:6" x14ac:dyDescent="0.35">
      <c r="A222" s="88">
        <v>45653</v>
      </c>
      <c r="B222" s="93">
        <v>190</v>
      </c>
      <c r="C222" s="95" t="s">
        <v>30</v>
      </c>
      <c r="D222" s="96" t="s">
        <v>185</v>
      </c>
      <c r="E222" s="96" t="s">
        <v>446</v>
      </c>
      <c r="F222" s="97" t="s">
        <v>50</v>
      </c>
    </row>
    <row r="223" spans="1:6" x14ac:dyDescent="0.35">
      <c r="A223" s="88">
        <v>45654</v>
      </c>
      <c r="B223" s="93">
        <v>190</v>
      </c>
      <c r="C223" s="95" t="s">
        <v>30</v>
      </c>
      <c r="D223" s="96" t="s">
        <v>46</v>
      </c>
      <c r="E223" s="96" t="s">
        <v>447</v>
      </c>
      <c r="F223" s="97" t="s">
        <v>50</v>
      </c>
    </row>
    <row r="224" spans="1:6" x14ac:dyDescent="0.35">
      <c r="A224" s="88">
        <v>45293</v>
      </c>
      <c r="B224" s="93">
        <v>380</v>
      </c>
      <c r="C224" s="95" t="s">
        <v>30</v>
      </c>
      <c r="D224" s="96" t="s">
        <v>169</v>
      </c>
      <c r="E224" s="96" t="s">
        <v>448</v>
      </c>
      <c r="F224" s="97" t="s">
        <v>50</v>
      </c>
    </row>
    <row r="225" spans="1:6" x14ac:dyDescent="0.35">
      <c r="A225" s="88">
        <v>45293</v>
      </c>
      <c r="B225" s="93">
        <v>380</v>
      </c>
      <c r="C225" s="95" t="s">
        <v>30</v>
      </c>
      <c r="D225" s="96" t="s">
        <v>82</v>
      </c>
      <c r="E225" s="96" t="s">
        <v>65</v>
      </c>
      <c r="F225" s="97" t="s">
        <v>50</v>
      </c>
    </row>
    <row r="226" spans="1:6" x14ac:dyDescent="0.35">
      <c r="A226" s="88">
        <v>45293</v>
      </c>
      <c r="B226" s="93">
        <v>380</v>
      </c>
      <c r="C226" s="95" t="s">
        <v>30</v>
      </c>
      <c r="D226" s="96" t="s">
        <v>375</v>
      </c>
      <c r="E226" s="96" t="s">
        <v>449</v>
      </c>
      <c r="F226" s="97" t="s">
        <v>50</v>
      </c>
    </row>
    <row r="227" spans="1:6" x14ac:dyDescent="0.35">
      <c r="A227" s="88">
        <v>45313</v>
      </c>
      <c r="B227" s="93">
        <v>380</v>
      </c>
      <c r="C227" s="95" t="s">
        <v>30</v>
      </c>
      <c r="D227" s="96" t="s">
        <v>127</v>
      </c>
      <c r="E227" s="96" t="s">
        <v>225</v>
      </c>
      <c r="F227" s="97" t="s">
        <v>50</v>
      </c>
    </row>
    <row r="228" spans="1:6" x14ac:dyDescent="0.35">
      <c r="A228" s="88">
        <v>45314</v>
      </c>
      <c r="B228" s="93">
        <v>380</v>
      </c>
      <c r="C228" s="95" t="s">
        <v>30</v>
      </c>
      <c r="D228" s="96" t="s">
        <v>191</v>
      </c>
      <c r="E228" s="96" t="s">
        <v>450</v>
      </c>
      <c r="F228" s="97" t="s">
        <v>50</v>
      </c>
    </row>
    <row r="229" spans="1:6" x14ac:dyDescent="0.35">
      <c r="A229" s="88">
        <v>45320</v>
      </c>
      <c r="B229" s="93">
        <v>380</v>
      </c>
      <c r="C229" s="95" t="s">
        <v>30</v>
      </c>
      <c r="D229" s="96" t="s">
        <v>451</v>
      </c>
      <c r="E229" s="96" t="s">
        <v>452</v>
      </c>
      <c r="F229" s="97" t="s">
        <v>50</v>
      </c>
    </row>
    <row r="230" spans="1:6" x14ac:dyDescent="0.35">
      <c r="A230" s="88">
        <v>45384</v>
      </c>
      <c r="B230" s="93">
        <v>380</v>
      </c>
      <c r="C230" s="95" t="s">
        <v>30</v>
      </c>
      <c r="D230" s="96" t="s">
        <v>82</v>
      </c>
      <c r="E230" s="96" t="s">
        <v>65</v>
      </c>
      <c r="F230" s="97" t="s">
        <v>50</v>
      </c>
    </row>
    <row r="231" spans="1:6" x14ac:dyDescent="0.35">
      <c r="A231" s="88">
        <v>45440</v>
      </c>
      <c r="B231" s="93">
        <v>380</v>
      </c>
      <c r="C231" s="95" t="s">
        <v>30</v>
      </c>
      <c r="D231" s="96" t="s">
        <v>173</v>
      </c>
      <c r="E231" s="96" t="s">
        <v>190</v>
      </c>
      <c r="F231" s="97" t="s">
        <v>50</v>
      </c>
    </row>
    <row r="232" spans="1:6" x14ac:dyDescent="0.35">
      <c r="A232" s="88">
        <v>45446</v>
      </c>
      <c r="B232" s="93">
        <v>380</v>
      </c>
      <c r="C232" s="95" t="s">
        <v>30</v>
      </c>
      <c r="D232" s="96" t="s">
        <v>55</v>
      </c>
      <c r="E232" s="96" t="s">
        <v>56</v>
      </c>
      <c r="F232" s="97" t="s">
        <v>50</v>
      </c>
    </row>
    <row r="233" spans="1:6" x14ac:dyDescent="0.35">
      <c r="A233" s="88">
        <v>45446</v>
      </c>
      <c r="B233" s="93">
        <v>380</v>
      </c>
      <c r="C233" s="95" t="s">
        <v>30</v>
      </c>
      <c r="D233" s="96" t="s">
        <v>51</v>
      </c>
      <c r="E233" s="96" t="s">
        <v>52</v>
      </c>
      <c r="F233" s="97" t="s">
        <v>50</v>
      </c>
    </row>
    <row r="234" spans="1:6" x14ac:dyDescent="0.35">
      <c r="A234" s="88">
        <v>45464</v>
      </c>
      <c r="B234" s="93">
        <v>100</v>
      </c>
      <c r="C234" s="95" t="s">
        <v>30</v>
      </c>
      <c r="D234" s="96" t="s">
        <v>453</v>
      </c>
      <c r="E234" s="96" t="s">
        <v>454</v>
      </c>
      <c r="F234" s="97" t="s">
        <v>50</v>
      </c>
    </row>
    <row r="235" spans="1:6" x14ac:dyDescent="0.35">
      <c r="A235" s="88">
        <v>45470</v>
      </c>
      <c r="B235" s="93">
        <v>380</v>
      </c>
      <c r="C235" s="95" t="s">
        <v>30</v>
      </c>
      <c r="D235" s="96" t="s">
        <v>39</v>
      </c>
      <c r="E235" s="96" t="s">
        <v>455</v>
      </c>
      <c r="F235" s="97" t="s">
        <v>50</v>
      </c>
    </row>
    <row r="236" spans="1:6" x14ac:dyDescent="0.35">
      <c r="A236" s="88">
        <v>45474</v>
      </c>
      <c r="B236" s="93">
        <v>380</v>
      </c>
      <c r="C236" s="95" t="s">
        <v>30</v>
      </c>
      <c r="D236" s="96" t="s">
        <v>456</v>
      </c>
      <c r="E236" s="96" t="s">
        <v>65</v>
      </c>
      <c r="F236" s="97" t="s">
        <v>50</v>
      </c>
    </row>
    <row r="237" spans="1:6" x14ac:dyDescent="0.35">
      <c r="A237" s="88">
        <v>45474</v>
      </c>
      <c r="B237" s="93">
        <v>380</v>
      </c>
      <c r="C237" s="95" t="s">
        <v>30</v>
      </c>
      <c r="D237" s="96" t="s">
        <v>457</v>
      </c>
      <c r="E237" s="96" t="s">
        <v>65</v>
      </c>
      <c r="F237" s="97" t="s">
        <v>50</v>
      </c>
    </row>
    <row r="238" spans="1:6" x14ac:dyDescent="0.35">
      <c r="A238" s="88">
        <v>45481</v>
      </c>
      <c r="B238" s="93">
        <v>380</v>
      </c>
      <c r="C238" s="95" t="s">
        <v>30</v>
      </c>
      <c r="D238" s="96" t="s">
        <v>57</v>
      </c>
      <c r="E238" s="96" t="s">
        <v>458</v>
      </c>
      <c r="F238" s="97" t="s">
        <v>50</v>
      </c>
    </row>
    <row r="239" spans="1:6" x14ac:dyDescent="0.35">
      <c r="A239" s="88">
        <v>45502</v>
      </c>
      <c r="B239" s="93">
        <v>380</v>
      </c>
      <c r="C239" s="95" t="s">
        <v>30</v>
      </c>
      <c r="D239" s="96" t="s">
        <v>80</v>
      </c>
      <c r="E239" s="96" t="s">
        <v>81</v>
      </c>
      <c r="F239" s="97" t="s">
        <v>50</v>
      </c>
    </row>
    <row r="240" spans="1:6" x14ac:dyDescent="0.35">
      <c r="A240" s="88">
        <v>45505</v>
      </c>
      <c r="B240" s="93">
        <v>380</v>
      </c>
      <c r="C240" s="95" t="s">
        <v>30</v>
      </c>
      <c r="D240" s="96" t="s">
        <v>76</v>
      </c>
      <c r="E240" s="96" t="s">
        <v>183</v>
      </c>
      <c r="F240" s="97" t="s">
        <v>50</v>
      </c>
    </row>
    <row r="241" spans="1:6" x14ac:dyDescent="0.35">
      <c r="A241" s="88">
        <v>45505</v>
      </c>
      <c r="B241" s="93">
        <v>380</v>
      </c>
      <c r="C241" s="95" t="s">
        <v>30</v>
      </c>
      <c r="D241" s="96" t="s">
        <v>48</v>
      </c>
      <c r="E241" s="96" t="s">
        <v>64</v>
      </c>
      <c r="F241" s="97" t="s">
        <v>50</v>
      </c>
    </row>
    <row r="242" spans="1:6" x14ac:dyDescent="0.35">
      <c r="A242" s="88">
        <v>45505</v>
      </c>
      <c r="B242" s="93">
        <v>380</v>
      </c>
      <c r="C242" s="95" t="s">
        <v>30</v>
      </c>
      <c r="D242" s="96" t="s">
        <v>71</v>
      </c>
      <c r="E242" s="96" t="s">
        <v>65</v>
      </c>
      <c r="F242" s="97" t="s">
        <v>50</v>
      </c>
    </row>
    <row r="243" spans="1:6" x14ac:dyDescent="0.35">
      <c r="A243" s="88">
        <v>45505</v>
      </c>
      <c r="B243" s="93">
        <v>380</v>
      </c>
      <c r="C243" s="95" t="s">
        <v>30</v>
      </c>
      <c r="D243" s="96" t="s">
        <v>68</v>
      </c>
      <c r="E243" s="96" t="s">
        <v>69</v>
      </c>
      <c r="F243" s="97" t="s">
        <v>50</v>
      </c>
    </row>
    <row r="244" spans="1:6" x14ac:dyDescent="0.35">
      <c r="A244" s="88">
        <v>45505</v>
      </c>
      <c r="B244" s="93">
        <v>380</v>
      </c>
      <c r="C244" s="95" t="s">
        <v>30</v>
      </c>
      <c r="D244" s="96" t="s">
        <v>71</v>
      </c>
      <c r="E244" s="96" t="s">
        <v>67</v>
      </c>
      <c r="F244" s="97" t="s">
        <v>50</v>
      </c>
    </row>
    <row r="245" spans="1:6" x14ac:dyDescent="0.35">
      <c r="A245" s="88">
        <v>45505</v>
      </c>
      <c r="B245" s="93">
        <v>380</v>
      </c>
      <c r="C245" s="95" t="s">
        <v>30</v>
      </c>
      <c r="D245" s="96" t="s">
        <v>70</v>
      </c>
      <c r="E245" s="96" t="s">
        <v>61</v>
      </c>
      <c r="F245" s="97" t="s">
        <v>50</v>
      </c>
    </row>
    <row r="246" spans="1:6" x14ac:dyDescent="0.35">
      <c r="A246" s="88">
        <v>45505</v>
      </c>
      <c r="B246" s="93">
        <v>380</v>
      </c>
      <c r="C246" s="95" t="s">
        <v>30</v>
      </c>
      <c r="D246" s="96" t="s">
        <v>71</v>
      </c>
      <c r="E246" s="96" t="s">
        <v>182</v>
      </c>
      <c r="F246" s="97" t="s">
        <v>50</v>
      </c>
    </row>
    <row r="247" spans="1:6" x14ac:dyDescent="0.35">
      <c r="A247" s="88">
        <v>45505</v>
      </c>
      <c r="B247" s="93">
        <v>380</v>
      </c>
      <c r="C247" s="95" t="s">
        <v>30</v>
      </c>
      <c r="D247" s="96" t="s">
        <v>62</v>
      </c>
      <c r="E247" s="96" t="s">
        <v>63</v>
      </c>
      <c r="F247" s="97" t="s">
        <v>50</v>
      </c>
    </row>
    <row r="248" spans="1:6" x14ac:dyDescent="0.35">
      <c r="A248" s="88">
        <v>45506</v>
      </c>
      <c r="B248" s="93">
        <f>7*190</f>
        <v>1330</v>
      </c>
      <c r="C248" s="95" t="s">
        <v>30</v>
      </c>
      <c r="D248" s="96" t="s">
        <v>34</v>
      </c>
      <c r="E248" s="96" t="s">
        <v>66</v>
      </c>
      <c r="F248" s="97" t="s">
        <v>50</v>
      </c>
    </row>
    <row r="249" spans="1:6" x14ac:dyDescent="0.35">
      <c r="A249" s="88">
        <v>45528</v>
      </c>
      <c r="B249" s="93">
        <v>380</v>
      </c>
      <c r="C249" s="95" t="s">
        <v>30</v>
      </c>
      <c r="D249" s="96" t="s">
        <v>77</v>
      </c>
      <c r="E249" s="96" t="s">
        <v>246</v>
      </c>
      <c r="F249" s="97" t="s">
        <v>50</v>
      </c>
    </row>
    <row r="250" spans="1:6" x14ac:dyDescent="0.35">
      <c r="A250" s="88">
        <v>45531</v>
      </c>
      <c r="B250" s="93">
        <v>380</v>
      </c>
      <c r="C250" s="95" t="s">
        <v>30</v>
      </c>
      <c r="D250" s="96" t="s">
        <v>451</v>
      </c>
      <c r="E250" s="96" t="s">
        <v>459</v>
      </c>
      <c r="F250" s="97" t="s">
        <v>50</v>
      </c>
    </row>
    <row r="251" spans="1:6" x14ac:dyDescent="0.35">
      <c r="A251" s="88">
        <v>45537</v>
      </c>
      <c r="B251" s="93">
        <v>380</v>
      </c>
      <c r="C251" s="95" t="s">
        <v>30</v>
      </c>
      <c r="D251" s="96" t="s">
        <v>73</v>
      </c>
      <c r="E251" s="96" t="s">
        <v>74</v>
      </c>
      <c r="F251" s="97" t="s">
        <v>50</v>
      </c>
    </row>
    <row r="252" spans="1:6" x14ac:dyDescent="0.35">
      <c r="A252" s="88">
        <v>45560</v>
      </c>
      <c r="B252" s="93">
        <v>100</v>
      </c>
      <c r="C252" s="95" t="s">
        <v>30</v>
      </c>
      <c r="D252" s="96" t="s">
        <v>453</v>
      </c>
      <c r="E252" s="96" t="s">
        <v>460</v>
      </c>
      <c r="F252" s="97" t="s">
        <v>50</v>
      </c>
    </row>
    <row r="253" spans="1:6" x14ac:dyDescent="0.35">
      <c r="A253" s="88">
        <v>45561</v>
      </c>
      <c r="B253" s="93">
        <v>380</v>
      </c>
      <c r="C253" s="95" t="s">
        <v>30</v>
      </c>
      <c r="D253" s="96" t="s">
        <v>44</v>
      </c>
      <c r="E253" s="96" t="s">
        <v>186</v>
      </c>
      <c r="F253" s="97" t="s">
        <v>50</v>
      </c>
    </row>
    <row r="254" spans="1:6" x14ac:dyDescent="0.35">
      <c r="A254" s="88">
        <v>45579</v>
      </c>
      <c r="B254" s="93">
        <v>380</v>
      </c>
      <c r="C254" s="95" t="s">
        <v>30</v>
      </c>
      <c r="D254" s="96" t="s">
        <v>187</v>
      </c>
      <c r="E254" s="96" t="s">
        <v>188</v>
      </c>
      <c r="F254" s="97" t="s">
        <v>50</v>
      </c>
    </row>
    <row r="255" spans="1:6" x14ac:dyDescent="0.35">
      <c r="A255" s="88">
        <v>45581</v>
      </c>
      <c r="B255" s="93">
        <v>380</v>
      </c>
      <c r="C255" s="95" t="s">
        <v>30</v>
      </c>
      <c r="D255" s="96" t="s">
        <v>269</v>
      </c>
      <c r="E255" s="96" t="s">
        <v>65</v>
      </c>
      <c r="F255" s="97" t="s">
        <v>50</v>
      </c>
    </row>
    <row r="256" spans="1:6" x14ac:dyDescent="0.35">
      <c r="A256" s="88">
        <v>45587</v>
      </c>
      <c r="B256" s="93">
        <v>380</v>
      </c>
      <c r="C256" s="95" t="s">
        <v>30</v>
      </c>
      <c r="D256" s="96" t="s">
        <v>355</v>
      </c>
      <c r="E256" s="96" t="s">
        <v>461</v>
      </c>
      <c r="F256" s="97" t="s">
        <v>50</v>
      </c>
    </row>
    <row r="257" spans="1:6" x14ac:dyDescent="0.35">
      <c r="A257" s="88">
        <v>45597</v>
      </c>
      <c r="B257" s="93">
        <v>380</v>
      </c>
      <c r="C257" s="95" t="s">
        <v>30</v>
      </c>
      <c r="D257" s="96" t="s">
        <v>47</v>
      </c>
      <c r="E257" s="96" t="s">
        <v>462</v>
      </c>
      <c r="F257" s="97" t="s">
        <v>50</v>
      </c>
    </row>
    <row r="258" spans="1:6" x14ac:dyDescent="0.35">
      <c r="A258" s="88">
        <v>45653</v>
      </c>
      <c r="B258" s="93">
        <v>380</v>
      </c>
      <c r="C258" s="95" t="s">
        <v>30</v>
      </c>
      <c r="D258" s="96" t="s">
        <v>247</v>
      </c>
      <c r="F258" s="97" t="s">
        <v>50</v>
      </c>
    </row>
    <row r="259" spans="1:6" x14ac:dyDescent="0.35">
      <c r="A259" s="88">
        <v>45656</v>
      </c>
      <c r="B259" s="93">
        <v>380</v>
      </c>
      <c r="C259" s="95" t="s">
        <v>30</v>
      </c>
      <c r="D259" s="96" t="s">
        <v>31</v>
      </c>
      <c r="E259" s="96" t="s">
        <v>463</v>
      </c>
      <c r="F259" s="97" t="s">
        <v>50</v>
      </c>
    </row>
    <row r="260" spans="1:6" x14ac:dyDescent="0.35">
      <c r="A260" s="88">
        <v>45544</v>
      </c>
      <c r="B260" s="93">
        <v>425</v>
      </c>
      <c r="C260" s="95" t="s">
        <v>30</v>
      </c>
      <c r="D260" s="96" t="s">
        <v>464</v>
      </c>
      <c r="E260" s="96" t="s">
        <v>465</v>
      </c>
      <c r="F260" s="97" t="s">
        <v>50</v>
      </c>
    </row>
    <row r="261" spans="1:6" x14ac:dyDescent="0.35">
      <c r="A261" s="88">
        <v>45614</v>
      </c>
      <c r="B261" s="93">
        <v>500</v>
      </c>
      <c r="C261" s="95" t="s">
        <v>30</v>
      </c>
      <c r="D261" s="96" t="s">
        <v>58</v>
      </c>
      <c r="E261" s="96" t="s">
        <v>466</v>
      </c>
      <c r="F261" s="97" t="s">
        <v>50</v>
      </c>
    </row>
    <row r="262" spans="1:6" x14ac:dyDescent="0.35">
      <c r="A262" s="88">
        <v>45644</v>
      </c>
      <c r="B262" s="93">
        <v>500</v>
      </c>
      <c r="C262" s="95" t="s">
        <v>30</v>
      </c>
      <c r="D262" s="96" t="s">
        <v>467</v>
      </c>
      <c r="E262" s="96" t="s">
        <v>468</v>
      </c>
      <c r="F262" s="97" t="s">
        <v>50</v>
      </c>
    </row>
    <row r="263" spans="1:6" x14ac:dyDescent="0.35">
      <c r="A263" s="88">
        <v>45645</v>
      </c>
      <c r="B263" s="93">
        <v>500</v>
      </c>
      <c r="C263" s="95" t="s">
        <v>30</v>
      </c>
      <c r="D263" s="96" t="s">
        <v>340</v>
      </c>
      <c r="E263" s="96" t="s">
        <v>469</v>
      </c>
      <c r="F263" s="97" t="s">
        <v>50</v>
      </c>
    </row>
    <row r="264" spans="1:6" x14ac:dyDescent="0.35">
      <c r="A264" s="88">
        <v>45647</v>
      </c>
      <c r="B264" s="94">
        <v>200</v>
      </c>
      <c r="C264" s="95" t="s">
        <v>30</v>
      </c>
      <c r="D264" s="96" t="s">
        <v>453</v>
      </c>
      <c r="E264" s="96" t="s">
        <v>470</v>
      </c>
      <c r="F264" s="97" t="s">
        <v>50</v>
      </c>
    </row>
    <row r="265" spans="1:6" x14ac:dyDescent="0.35">
      <c r="A265" s="88"/>
      <c r="B265" s="92">
        <f>SUM(B208:B264)</f>
        <v>20945</v>
      </c>
      <c r="F265" s="97"/>
    </row>
    <row r="266" spans="1:6" x14ac:dyDescent="0.35">
      <c r="A266" s="88"/>
      <c r="B266" s="93"/>
      <c r="F266" s="97"/>
    </row>
    <row r="267" spans="1:6" x14ac:dyDescent="0.35">
      <c r="A267" s="88">
        <v>45474</v>
      </c>
      <c r="B267" s="93">
        <v>380</v>
      </c>
      <c r="C267" s="95" t="s">
        <v>30</v>
      </c>
      <c r="D267" s="96" t="s">
        <v>82</v>
      </c>
      <c r="E267" s="96" t="s">
        <v>65</v>
      </c>
      <c r="F267" s="97" t="s">
        <v>192</v>
      </c>
    </row>
    <row r="268" spans="1:6" x14ac:dyDescent="0.35">
      <c r="A268" s="88">
        <v>45551</v>
      </c>
      <c r="B268" s="93">
        <v>380</v>
      </c>
      <c r="C268" s="95" t="s">
        <v>30</v>
      </c>
      <c r="D268" s="96" t="s">
        <v>41</v>
      </c>
      <c r="E268" s="96" t="s">
        <v>248</v>
      </c>
      <c r="F268" s="97" t="s">
        <v>192</v>
      </c>
    </row>
    <row r="269" spans="1:6" x14ac:dyDescent="0.35">
      <c r="A269" s="88">
        <v>45506</v>
      </c>
      <c r="B269" s="94">
        <f>3*190</f>
        <v>570</v>
      </c>
      <c r="C269" s="95" t="s">
        <v>30</v>
      </c>
      <c r="D269" s="96" t="s">
        <v>34</v>
      </c>
      <c r="E269" s="96" t="s">
        <v>66</v>
      </c>
      <c r="F269" s="97" t="s">
        <v>192</v>
      </c>
    </row>
    <row r="270" spans="1:6" x14ac:dyDescent="0.35">
      <c r="A270" s="88"/>
      <c r="B270" s="92">
        <f>SUM(B267:B269)</f>
        <v>1330</v>
      </c>
      <c r="F270" s="97"/>
    </row>
    <row r="271" spans="1:6" x14ac:dyDescent="0.35">
      <c r="A271" s="88"/>
      <c r="B271" s="93"/>
      <c r="F271" s="97"/>
    </row>
    <row r="272" spans="1:6" x14ac:dyDescent="0.35">
      <c r="A272" s="81" t="s">
        <v>85</v>
      </c>
      <c r="B272" s="101">
        <f>B5+B8+B12+B25+B29+B60+B86+B90+B94+B105+B191+B196+B199+B203+B206+B265+B270</f>
        <v>79790.070000000007</v>
      </c>
      <c r="C272" s="107" t="s">
        <v>249</v>
      </c>
      <c r="F272" s="97"/>
    </row>
    <row r="273" spans="1:6" x14ac:dyDescent="0.35">
      <c r="A273" s="111"/>
      <c r="B273" s="93"/>
      <c r="F273" s="97"/>
    </row>
    <row r="274" spans="1:6" x14ac:dyDescent="0.35">
      <c r="A274" s="88"/>
      <c r="B274" s="93"/>
      <c r="F274" s="97"/>
    </row>
    <row r="275" spans="1:6" x14ac:dyDescent="0.35">
      <c r="A275" s="102" t="s">
        <v>25</v>
      </c>
      <c r="B275" s="102" t="s">
        <v>26</v>
      </c>
      <c r="C275" s="103" t="s">
        <v>27</v>
      </c>
      <c r="D275" s="104" t="s">
        <v>28</v>
      </c>
      <c r="E275" s="104" t="s">
        <v>29</v>
      </c>
      <c r="F275" s="105" t="s">
        <v>163</v>
      </c>
    </row>
    <row r="276" spans="1:6" x14ac:dyDescent="0.35">
      <c r="A276" s="88">
        <v>45292</v>
      </c>
      <c r="B276" s="93">
        <v>50.65</v>
      </c>
      <c r="C276" s="95" t="s">
        <v>86</v>
      </c>
      <c r="E276" s="96" t="s">
        <v>471</v>
      </c>
      <c r="F276" s="95" t="s">
        <v>23</v>
      </c>
    </row>
    <row r="277" spans="1:6" x14ac:dyDescent="0.35">
      <c r="A277" s="88">
        <v>45383</v>
      </c>
      <c r="B277" s="93">
        <v>41.9</v>
      </c>
      <c r="C277" s="95" t="s">
        <v>86</v>
      </c>
      <c r="E277" s="96" t="s">
        <v>472</v>
      </c>
      <c r="F277" s="95" t="s">
        <v>23</v>
      </c>
    </row>
    <row r="278" spans="1:6" x14ac:dyDescent="0.35">
      <c r="A278" s="88">
        <v>45474</v>
      </c>
      <c r="B278" s="93">
        <v>45.9</v>
      </c>
      <c r="C278" s="95" t="s">
        <v>86</v>
      </c>
      <c r="E278" s="96" t="s">
        <v>473</v>
      </c>
      <c r="F278" s="95" t="s">
        <v>23</v>
      </c>
    </row>
    <row r="279" spans="1:6" x14ac:dyDescent="0.35">
      <c r="A279" s="88">
        <v>45566</v>
      </c>
      <c r="B279" s="94">
        <v>45</v>
      </c>
      <c r="C279" s="95" t="s">
        <v>86</v>
      </c>
      <c r="E279" s="96" t="s">
        <v>474</v>
      </c>
      <c r="F279" s="95" t="s">
        <v>23</v>
      </c>
    </row>
    <row r="280" spans="1:6" x14ac:dyDescent="0.35">
      <c r="A280" s="88"/>
      <c r="B280" s="92">
        <f>SUM(B276:B279)</f>
        <v>183.45</v>
      </c>
    </row>
    <row r="281" spans="1:6" x14ac:dyDescent="0.35">
      <c r="A281" s="88"/>
      <c r="B281" s="92"/>
    </row>
    <row r="282" spans="1:6" x14ac:dyDescent="0.35">
      <c r="A282" s="88">
        <v>45386</v>
      </c>
      <c r="B282" s="93">
        <v>1810</v>
      </c>
      <c r="C282" s="95" t="s">
        <v>86</v>
      </c>
      <c r="D282" s="96" t="s">
        <v>87</v>
      </c>
      <c r="E282" s="96" t="s">
        <v>475</v>
      </c>
      <c r="F282" s="98" t="s">
        <v>271</v>
      </c>
    </row>
    <row r="283" spans="1:6" x14ac:dyDescent="0.35">
      <c r="A283" s="88">
        <v>45386</v>
      </c>
      <c r="B283" s="93">
        <v>170</v>
      </c>
      <c r="C283" s="95" t="s">
        <v>86</v>
      </c>
      <c r="D283" s="96" t="s">
        <v>87</v>
      </c>
      <c r="E283" s="96" t="s">
        <v>476</v>
      </c>
      <c r="F283" s="98" t="s">
        <v>271</v>
      </c>
    </row>
    <row r="284" spans="1:6" x14ac:dyDescent="0.35">
      <c r="A284" s="88">
        <v>45407</v>
      </c>
      <c r="B284" s="94">
        <v>44</v>
      </c>
      <c r="C284" s="95" t="s">
        <v>86</v>
      </c>
      <c r="D284" s="96" t="s">
        <v>87</v>
      </c>
      <c r="E284" s="96" t="s">
        <v>477</v>
      </c>
      <c r="F284" s="98" t="s">
        <v>271</v>
      </c>
    </row>
    <row r="285" spans="1:6" x14ac:dyDescent="0.35">
      <c r="A285" s="88"/>
      <c r="B285" s="92">
        <f>SUM(B282:B284)</f>
        <v>2024</v>
      </c>
      <c r="F285" s="97"/>
    </row>
    <row r="286" spans="1:6" x14ac:dyDescent="0.35">
      <c r="A286" s="88"/>
      <c r="B286" s="93"/>
    </row>
    <row r="287" spans="1:6" x14ac:dyDescent="0.35">
      <c r="A287" s="88">
        <v>45468</v>
      </c>
      <c r="B287" s="93">
        <v>16500</v>
      </c>
      <c r="C287" s="95" t="s">
        <v>86</v>
      </c>
      <c r="D287" s="96" t="s">
        <v>251</v>
      </c>
      <c r="E287" s="96" t="s">
        <v>478</v>
      </c>
      <c r="F287" s="98" t="s">
        <v>479</v>
      </c>
    </row>
    <row r="288" spans="1:6" x14ac:dyDescent="0.35">
      <c r="A288" s="88">
        <v>45598</v>
      </c>
      <c r="B288" s="94">
        <v>1000</v>
      </c>
      <c r="C288" s="95" t="s">
        <v>86</v>
      </c>
      <c r="D288" s="96" t="s">
        <v>251</v>
      </c>
      <c r="E288" s="96" t="s">
        <v>480</v>
      </c>
      <c r="F288" s="98" t="s">
        <v>479</v>
      </c>
    </row>
    <row r="289" spans="1:6" x14ac:dyDescent="0.35">
      <c r="A289" s="88"/>
      <c r="B289" s="92">
        <f>SUM(B287:B288)</f>
        <v>17500</v>
      </c>
      <c r="F289" s="98"/>
    </row>
    <row r="290" spans="1:6" x14ac:dyDescent="0.35">
      <c r="A290" s="88"/>
      <c r="B290" s="93"/>
      <c r="F290" s="98"/>
    </row>
    <row r="291" spans="1:6" x14ac:dyDescent="0.35">
      <c r="A291" s="88">
        <v>45386</v>
      </c>
      <c r="B291" s="93">
        <v>160</v>
      </c>
      <c r="C291" s="95" t="s">
        <v>86</v>
      </c>
      <c r="D291" s="96" t="s">
        <v>87</v>
      </c>
      <c r="E291" s="96" t="s">
        <v>481</v>
      </c>
      <c r="F291" s="95" t="s">
        <v>482</v>
      </c>
    </row>
    <row r="292" spans="1:6" x14ac:dyDescent="0.35">
      <c r="A292" s="88">
        <v>45406</v>
      </c>
      <c r="B292" s="93">
        <v>100</v>
      </c>
      <c r="C292" s="95" t="s">
        <v>86</v>
      </c>
      <c r="D292" s="96" t="s">
        <v>87</v>
      </c>
      <c r="E292" s="96" t="s">
        <v>483</v>
      </c>
      <c r="F292" s="95" t="s">
        <v>482</v>
      </c>
    </row>
    <row r="293" spans="1:6" x14ac:dyDescent="0.35">
      <c r="A293" s="88">
        <v>45443</v>
      </c>
      <c r="B293" s="93">
        <v>50.2</v>
      </c>
      <c r="C293" s="95" t="s">
        <v>86</v>
      </c>
      <c r="D293" s="96" t="s">
        <v>87</v>
      </c>
      <c r="E293" s="96" t="s">
        <v>484</v>
      </c>
      <c r="F293" s="95" t="s">
        <v>482</v>
      </c>
    </row>
    <row r="294" spans="1:6" x14ac:dyDescent="0.35">
      <c r="A294" s="88">
        <v>45484</v>
      </c>
      <c r="B294" s="93">
        <v>20.48</v>
      </c>
      <c r="C294" s="95" t="s">
        <v>86</v>
      </c>
      <c r="D294" s="96" t="s">
        <v>87</v>
      </c>
      <c r="E294" s="96" t="s">
        <v>485</v>
      </c>
      <c r="F294" s="95" t="s">
        <v>482</v>
      </c>
    </row>
    <row r="295" spans="1:6" x14ac:dyDescent="0.35">
      <c r="A295" s="88">
        <v>45322</v>
      </c>
      <c r="B295" s="93">
        <v>10</v>
      </c>
      <c r="C295" s="95" t="s">
        <v>86</v>
      </c>
      <c r="D295" s="96" t="s">
        <v>87</v>
      </c>
      <c r="E295" s="96" t="s">
        <v>486</v>
      </c>
      <c r="F295" s="95" t="s">
        <v>482</v>
      </c>
    </row>
    <row r="296" spans="1:6" x14ac:dyDescent="0.35">
      <c r="A296" s="88">
        <v>45306</v>
      </c>
      <c r="B296" s="94">
        <v>256.95</v>
      </c>
      <c r="C296" s="95" t="s">
        <v>86</v>
      </c>
      <c r="D296" s="96" t="s">
        <v>87</v>
      </c>
      <c r="E296" s="96" t="s">
        <v>487</v>
      </c>
      <c r="F296" s="95" t="s">
        <v>482</v>
      </c>
    </row>
    <row r="297" spans="1:6" x14ac:dyDescent="0.35">
      <c r="A297" s="88"/>
      <c r="B297" s="92">
        <f>SUM(B291:B296)</f>
        <v>597.63</v>
      </c>
    </row>
    <row r="298" spans="1:6" x14ac:dyDescent="0.35">
      <c r="A298" s="88"/>
      <c r="B298" s="93"/>
    </row>
    <row r="299" spans="1:6" x14ac:dyDescent="0.35">
      <c r="A299" s="88">
        <v>45563</v>
      </c>
      <c r="B299" s="94">
        <v>500</v>
      </c>
      <c r="C299" s="95" t="s">
        <v>86</v>
      </c>
      <c r="D299" s="96" t="s">
        <v>194</v>
      </c>
      <c r="E299" s="96" t="s">
        <v>488</v>
      </c>
      <c r="F299" s="98" t="s">
        <v>489</v>
      </c>
    </row>
    <row r="300" spans="1:6" x14ac:dyDescent="0.35">
      <c r="A300" s="88"/>
      <c r="B300" s="92">
        <f>B299</f>
        <v>500</v>
      </c>
      <c r="F300" s="98"/>
    </row>
    <row r="301" spans="1:6" x14ac:dyDescent="0.35">
      <c r="A301" s="88"/>
      <c r="B301" s="93"/>
      <c r="F301" s="98"/>
    </row>
    <row r="302" spans="1:6" x14ac:dyDescent="0.35">
      <c r="A302" s="88">
        <v>45656</v>
      </c>
      <c r="B302" s="94">
        <v>2100</v>
      </c>
      <c r="C302" s="95" t="s">
        <v>86</v>
      </c>
      <c r="D302" s="96" t="s">
        <v>194</v>
      </c>
      <c r="E302" s="96" t="s">
        <v>490</v>
      </c>
      <c r="F302" s="99" t="s">
        <v>250</v>
      </c>
    </row>
    <row r="303" spans="1:6" x14ac:dyDescent="0.35">
      <c r="A303" s="88"/>
      <c r="B303" s="92">
        <f>B302</f>
        <v>2100</v>
      </c>
      <c r="F303" s="99"/>
    </row>
    <row r="304" spans="1:6" x14ac:dyDescent="0.35">
      <c r="A304" s="88"/>
      <c r="B304" s="93"/>
      <c r="F304" s="99"/>
    </row>
    <row r="305" spans="1:6" x14ac:dyDescent="0.35">
      <c r="A305" s="88">
        <v>45574</v>
      </c>
      <c r="B305" s="94">
        <v>10000</v>
      </c>
      <c r="C305" s="95" t="s">
        <v>86</v>
      </c>
      <c r="D305" s="96" t="s">
        <v>251</v>
      </c>
      <c r="E305" s="96" t="s">
        <v>491</v>
      </c>
      <c r="F305" s="95" t="s">
        <v>492</v>
      </c>
    </row>
    <row r="306" spans="1:6" x14ac:dyDescent="0.35">
      <c r="A306" s="88"/>
      <c r="B306" s="92">
        <f>SUM(B305)</f>
        <v>10000</v>
      </c>
    </row>
    <row r="307" spans="1:6" x14ac:dyDescent="0.35">
      <c r="A307" s="88"/>
      <c r="B307" s="93"/>
    </row>
    <row r="308" spans="1:6" x14ac:dyDescent="0.35">
      <c r="A308" s="88">
        <v>45626</v>
      </c>
      <c r="B308" s="94">
        <v>196</v>
      </c>
      <c r="C308" s="95" t="s">
        <v>86</v>
      </c>
      <c r="D308" s="96" t="s">
        <v>87</v>
      </c>
      <c r="E308" s="96" t="s">
        <v>493</v>
      </c>
      <c r="F308" s="95" t="s">
        <v>195</v>
      </c>
    </row>
    <row r="309" spans="1:6" x14ac:dyDescent="0.35">
      <c r="A309" s="88"/>
      <c r="B309" s="92">
        <f>SUM(B308)</f>
        <v>196</v>
      </c>
    </row>
    <row r="310" spans="1:6" x14ac:dyDescent="0.35">
      <c r="A310" s="88"/>
      <c r="B310" s="93"/>
    </row>
    <row r="311" spans="1:6" x14ac:dyDescent="0.35">
      <c r="A311" s="88">
        <v>45314</v>
      </c>
      <c r="B311" s="93">
        <v>5000</v>
      </c>
      <c r="C311" s="95" t="s">
        <v>86</v>
      </c>
      <c r="D311" s="96" t="s">
        <v>194</v>
      </c>
      <c r="E311" s="96" t="s">
        <v>494</v>
      </c>
      <c r="F311" s="99" t="s">
        <v>495</v>
      </c>
    </row>
    <row r="312" spans="1:6" x14ac:dyDescent="0.35">
      <c r="A312" s="88">
        <v>45316</v>
      </c>
      <c r="B312" s="93">
        <v>400</v>
      </c>
      <c r="C312" s="95" t="s">
        <v>86</v>
      </c>
      <c r="D312" s="96" t="s">
        <v>87</v>
      </c>
      <c r="E312" s="96" t="s">
        <v>496</v>
      </c>
      <c r="F312" s="99" t="s">
        <v>252</v>
      </c>
    </row>
    <row r="313" spans="1:6" x14ac:dyDescent="0.35">
      <c r="A313" s="88">
        <v>45406</v>
      </c>
      <c r="B313" s="93">
        <v>400</v>
      </c>
      <c r="C313" s="95" t="s">
        <v>86</v>
      </c>
      <c r="D313" s="96" t="s">
        <v>87</v>
      </c>
      <c r="E313" s="96" t="s">
        <v>497</v>
      </c>
      <c r="F313" s="99" t="s">
        <v>252</v>
      </c>
    </row>
    <row r="314" spans="1:6" x14ac:dyDescent="0.35">
      <c r="A314" s="88">
        <v>45577</v>
      </c>
      <c r="B314" s="93">
        <v>3800</v>
      </c>
      <c r="C314" s="95" t="s">
        <v>86</v>
      </c>
      <c r="D314" s="96" t="s">
        <v>194</v>
      </c>
      <c r="E314" s="96" t="s">
        <v>498</v>
      </c>
      <c r="F314" s="99" t="s">
        <v>252</v>
      </c>
    </row>
    <row r="315" spans="1:6" x14ac:dyDescent="0.35">
      <c r="A315" s="88">
        <v>45316</v>
      </c>
      <c r="B315" s="94">
        <v>350</v>
      </c>
      <c r="C315" s="95" t="s">
        <v>86</v>
      </c>
      <c r="D315" s="96" t="s">
        <v>87</v>
      </c>
      <c r="E315" s="96" t="s">
        <v>499</v>
      </c>
      <c r="F315" s="99" t="s">
        <v>252</v>
      </c>
    </row>
    <row r="316" spans="1:6" x14ac:dyDescent="0.35">
      <c r="A316" s="88"/>
      <c r="B316" s="92">
        <f>SUM(B311:B315)</f>
        <v>9950</v>
      </c>
      <c r="F316" s="99"/>
    </row>
    <row r="317" spans="1:6" x14ac:dyDescent="0.35">
      <c r="A317" s="88"/>
      <c r="B317" s="92"/>
      <c r="F317" s="99"/>
    </row>
    <row r="318" spans="1:6" x14ac:dyDescent="0.35">
      <c r="A318" s="88">
        <v>45391</v>
      </c>
      <c r="B318" s="94">
        <f>1000</f>
        <v>1000</v>
      </c>
      <c r="C318" s="95" t="s">
        <v>86</v>
      </c>
      <c r="D318" s="96" t="s">
        <v>251</v>
      </c>
      <c r="E318" s="96" t="s">
        <v>500</v>
      </c>
      <c r="F318" s="95" t="s">
        <v>501</v>
      </c>
    </row>
    <row r="319" spans="1:6" x14ac:dyDescent="0.35">
      <c r="A319" s="88"/>
      <c r="B319" s="92">
        <f>SUM(B318)</f>
        <v>1000</v>
      </c>
    </row>
    <row r="320" spans="1:6" x14ac:dyDescent="0.35">
      <c r="A320" s="88"/>
      <c r="B320" s="93"/>
      <c r="F320" s="99"/>
    </row>
    <row r="321" spans="1:6" x14ac:dyDescent="0.35">
      <c r="A321" s="88">
        <v>45493</v>
      </c>
      <c r="B321" s="93">
        <v>225</v>
      </c>
      <c r="C321" s="95" t="s">
        <v>86</v>
      </c>
      <c r="D321" s="96" t="s">
        <v>502</v>
      </c>
      <c r="E321" s="96" t="s">
        <v>503</v>
      </c>
      <c r="F321" s="99" t="s">
        <v>256</v>
      </c>
    </row>
    <row r="322" spans="1:6" x14ac:dyDescent="0.35">
      <c r="A322" s="88">
        <v>45598</v>
      </c>
      <c r="B322" s="93">
        <v>1000</v>
      </c>
      <c r="C322" s="95" t="s">
        <v>86</v>
      </c>
      <c r="D322" s="96" t="s">
        <v>284</v>
      </c>
      <c r="E322" s="96" t="s">
        <v>504</v>
      </c>
      <c r="F322" s="99" t="s">
        <v>256</v>
      </c>
    </row>
    <row r="323" spans="1:6" x14ac:dyDescent="0.35">
      <c r="A323" s="88">
        <v>45441</v>
      </c>
      <c r="B323" s="94">
        <v>750</v>
      </c>
      <c r="C323" s="95" t="s">
        <v>86</v>
      </c>
      <c r="D323" s="96" t="s">
        <v>87</v>
      </c>
      <c r="E323" s="96" t="s">
        <v>505</v>
      </c>
      <c r="F323" s="99" t="s">
        <v>506</v>
      </c>
    </row>
    <row r="324" spans="1:6" x14ac:dyDescent="0.35">
      <c r="A324" s="88"/>
      <c r="B324" s="92">
        <f>SUM(B321:B323)</f>
        <v>1975</v>
      </c>
      <c r="F324" s="99"/>
    </row>
    <row r="325" spans="1:6" x14ac:dyDescent="0.35">
      <c r="A325" s="88"/>
      <c r="B325" s="93"/>
      <c r="F325" s="99"/>
    </row>
    <row r="326" spans="1:6" x14ac:dyDescent="0.35">
      <c r="A326" s="88">
        <v>45333</v>
      </c>
      <c r="B326" s="93">
        <v>145.19999999999999</v>
      </c>
      <c r="C326" s="95" t="s">
        <v>86</v>
      </c>
      <c r="D326" s="96" t="s">
        <v>88</v>
      </c>
      <c r="E326" s="96" t="s">
        <v>507</v>
      </c>
      <c r="F326" s="100" t="s">
        <v>22</v>
      </c>
    </row>
    <row r="327" spans="1:6" x14ac:dyDescent="0.35">
      <c r="A327" s="88">
        <v>45392</v>
      </c>
      <c r="B327" s="93">
        <v>37.799999999999997</v>
      </c>
      <c r="C327" s="95" t="s">
        <v>86</v>
      </c>
      <c r="D327" s="96" t="s">
        <v>87</v>
      </c>
      <c r="E327" s="96" t="s">
        <v>508</v>
      </c>
      <c r="F327" s="95" t="s">
        <v>22</v>
      </c>
    </row>
    <row r="328" spans="1:6" x14ac:dyDescent="0.35">
      <c r="A328" s="88">
        <v>45432</v>
      </c>
      <c r="B328" s="93">
        <v>20.329999999999998</v>
      </c>
      <c r="C328" s="95" t="s">
        <v>86</v>
      </c>
      <c r="D328" s="96" t="s">
        <v>89</v>
      </c>
      <c r="E328" s="96" t="s">
        <v>509</v>
      </c>
      <c r="F328" s="95" t="s">
        <v>22</v>
      </c>
    </row>
    <row r="329" spans="1:6" x14ac:dyDescent="0.35">
      <c r="A329" s="88">
        <v>45512</v>
      </c>
      <c r="B329" s="94">
        <v>146.15</v>
      </c>
      <c r="C329" s="95" t="s">
        <v>86</v>
      </c>
      <c r="D329" s="96" t="s">
        <v>89</v>
      </c>
      <c r="E329" s="96" t="s">
        <v>510</v>
      </c>
      <c r="F329" s="100" t="s">
        <v>22</v>
      </c>
    </row>
    <row r="330" spans="1:6" x14ac:dyDescent="0.35">
      <c r="A330" s="88"/>
      <c r="B330" s="92">
        <f>SUM(B326:B329)</f>
        <v>349.48</v>
      </c>
      <c r="F330" s="100"/>
    </row>
    <row r="331" spans="1:6" x14ac:dyDescent="0.35">
      <c r="A331" s="88"/>
      <c r="B331" s="93"/>
      <c r="F331" s="100"/>
    </row>
    <row r="332" spans="1:6" x14ac:dyDescent="0.35">
      <c r="A332" s="88">
        <v>45386</v>
      </c>
      <c r="B332" s="93">
        <v>2000</v>
      </c>
      <c r="C332" s="95" t="s">
        <v>86</v>
      </c>
      <c r="D332" s="96" t="s">
        <v>87</v>
      </c>
      <c r="E332" s="96" t="s">
        <v>511</v>
      </c>
      <c r="F332" s="99" t="s">
        <v>253</v>
      </c>
    </row>
    <row r="333" spans="1:6" x14ac:dyDescent="0.35">
      <c r="A333" s="88">
        <v>45611</v>
      </c>
      <c r="B333" s="94">
        <v>3000</v>
      </c>
      <c r="C333" s="95" t="s">
        <v>86</v>
      </c>
      <c r="D333" s="96" t="s">
        <v>194</v>
      </c>
      <c r="E333" s="96" t="s">
        <v>512</v>
      </c>
      <c r="F333" s="99" t="s">
        <v>253</v>
      </c>
    </row>
    <row r="334" spans="1:6" x14ac:dyDescent="0.35">
      <c r="A334" s="88"/>
      <c r="B334" s="92">
        <f>SUM(B332:B333)</f>
        <v>5000</v>
      </c>
      <c r="F334" s="99"/>
    </row>
    <row r="335" spans="1:6" x14ac:dyDescent="0.35">
      <c r="A335" s="88"/>
      <c r="B335" s="92"/>
      <c r="F335" s="99"/>
    </row>
    <row r="336" spans="1:6" x14ac:dyDescent="0.35">
      <c r="A336" s="88">
        <v>45391</v>
      </c>
      <c r="B336" s="94">
        <f>1850</f>
        <v>1850</v>
      </c>
      <c r="C336" s="95" t="s">
        <v>86</v>
      </c>
      <c r="D336" s="96" t="s">
        <v>251</v>
      </c>
      <c r="E336" s="96" t="s">
        <v>500</v>
      </c>
      <c r="F336" s="95" t="s">
        <v>513</v>
      </c>
    </row>
    <row r="337" spans="1:6" x14ac:dyDescent="0.35">
      <c r="A337" s="88"/>
      <c r="B337" s="92">
        <f>SUM(B336)</f>
        <v>1850</v>
      </c>
    </row>
    <row r="338" spans="1:6" x14ac:dyDescent="0.35">
      <c r="A338" s="88"/>
      <c r="B338" s="93"/>
      <c r="F338" s="99"/>
    </row>
    <row r="339" spans="1:6" x14ac:dyDescent="0.35">
      <c r="A339" s="88">
        <v>45297</v>
      </c>
      <c r="B339" s="93">
        <v>26.1</v>
      </c>
      <c r="C339" s="95" t="s">
        <v>86</v>
      </c>
      <c r="D339" s="96" t="s">
        <v>196</v>
      </c>
      <c r="E339" s="96" t="s">
        <v>514</v>
      </c>
      <c r="F339" s="95" t="s">
        <v>90</v>
      </c>
    </row>
    <row r="340" spans="1:6" x14ac:dyDescent="0.35">
      <c r="A340" s="88">
        <v>45312</v>
      </c>
      <c r="B340" s="93">
        <v>82.85</v>
      </c>
      <c r="C340" s="95" t="s">
        <v>86</v>
      </c>
      <c r="D340" s="96" t="s">
        <v>196</v>
      </c>
      <c r="E340" s="96" t="s">
        <v>515</v>
      </c>
      <c r="F340" s="95" t="s">
        <v>90</v>
      </c>
    </row>
    <row r="341" spans="1:6" x14ac:dyDescent="0.35">
      <c r="A341" s="88">
        <v>45443</v>
      </c>
      <c r="B341" s="93">
        <v>45.7</v>
      </c>
      <c r="C341" s="95" t="s">
        <v>86</v>
      </c>
      <c r="D341" s="96" t="s">
        <v>87</v>
      </c>
      <c r="E341" s="96" t="s">
        <v>516</v>
      </c>
      <c r="F341" s="95" t="s">
        <v>90</v>
      </c>
    </row>
    <row r="342" spans="1:6" x14ac:dyDescent="0.35">
      <c r="A342" s="88">
        <v>45484</v>
      </c>
      <c r="B342" s="93">
        <v>16.13</v>
      </c>
      <c r="C342" s="95" t="s">
        <v>86</v>
      </c>
      <c r="D342" s="96" t="s">
        <v>87</v>
      </c>
      <c r="E342" s="96" t="s">
        <v>517</v>
      </c>
      <c r="F342" s="95" t="s">
        <v>90</v>
      </c>
    </row>
    <row r="343" spans="1:6" x14ac:dyDescent="0.35">
      <c r="A343" s="88">
        <v>45485</v>
      </c>
      <c r="B343" s="93">
        <v>243.68</v>
      </c>
      <c r="C343" s="95" t="s">
        <v>86</v>
      </c>
      <c r="D343" s="96" t="s">
        <v>87</v>
      </c>
      <c r="E343" s="96" t="s">
        <v>518</v>
      </c>
      <c r="F343" s="95" t="s">
        <v>90</v>
      </c>
    </row>
    <row r="344" spans="1:6" x14ac:dyDescent="0.35">
      <c r="A344" s="88">
        <v>45599</v>
      </c>
      <c r="B344" s="93">
        <v>229.27</v>
      </c>
      <c r="C344" s="95" t="s">
        <v>86</v>
      </c>
      <c r="D344" s="96" t="s">
        <v>87</v>
      </c>
      <c r="E344" s="96" t="s">
        <v>519</v>
      </c>
      <c r="F344" s="95" t="s">
        <v>90</v>
      </c>
    </row>
    <row r="345" spans="1:6" x14ac:dyDescent="0.35">
      <c r="A345" s="88">
        <v>45605</v>
      </c>
      <c r="B345" s="93">
        <v>1713.79</v>
      </c>
      <c r="C345" s="95" t="s">
        <v>86</v>
      </c>
      <c r="D345" s="96" t="s">
        <v>87</v>
      </c>
      <c r="E345" s="96" t="s">
        <v>520</v>
      </c>
      <c r="F345" s="95" t="s">
        <v>90</v>
      </c>
    </row>
    <row r="346" spans="1:6" x14ac:dyDescent="0.35">
      <c r="A346" s="88">
        <v>45619</v>
      </c>
      <c r="B346" s="93">
        <v>1746.03</v>
      </c>
      <c r="C346" s="95" t="s">
        <v>86</v>
      </c>
      <c r="D346" s="96" t="s">
        <v>87</v>
      </c>
      <c r="E346" s="96" t="s">
        <v>521</v>
      </c>
      <c r="F346" s="95" t="s">
        <v>90</v>
      </c>
    </row>
    <row r="347" spans="1:6" x14ac:dyDescent="0.35">
      <c r="A347" s="88">
        <v>45646</v>
      </c>
      <c r="B347" s="94">
        <v>16.02</v>
      </c>
      <c r="C347" s="95" t="s">
        <v>86</v>
      </c>
      <c r="D347" s="96" t="s">
        <v>87</v>
      </c>
      <c r="E347" s="96" t="s">
        <v>522</v>
      </c>
      <c r="F347" s="95" t="s">
        <v>90</v>
      </c>
    </row>
    <row r="348" spans="1:6" x14ac:dyDescent="0.35">
      <c r="A348" s="88"/>
      <c r="B348" s="92">
        <f>SUM(B339:B347)</f>
        <v>4119.5700000000006</v>
      </c>
    </row>
    <row r="349" spans="1:6" x14ac:dyDescent="0.35">
      <c r="A349" s="88"/>
      <c r="B349" s="93"/>
    </row>
    <row r="350" spans="1:6" x14ac:dyDescent="0.35">
      <c r="A350" s="88">
        <v>45472</v>
      </c>
      <c r="B350" s="94">
        <v>1900</v>
      </c>
      <c r="C350" s="95" t="s">
        <v>86</v>
      </c>
      <c r="D350" s="96" t="s">
        <v>87</v>
      </c>
      <c r="E350" s="96" t="s">
        <v>523</v>
      </c>
      <c r="F350" s="97" t="s">
        <v>192</v>
      </c>
    </row>
    <row r="351" spans="1:6" x14ac:dyDescent="0.35">
      <c r="A351" s="88"/>
      <c r="B351" s="92">
        <f>SUM(B350)</f>
        <v>1900</v>
      </c>
      <c r="F351" s="97"/>
    </row>
    <row r="352" spans="1:6" x14ac:dyDescent="0.35">
      <c r="A352" s="88"/>
      <c r="B352" s="93"/>
      <c r="F352" s="97"/>
    </row>
    <row r="353" spans="1:3" x14ac:dyDescent="0.35">
      <c r="A353" s="106" t="s">
        <v>91</v>
      </c>
      <c r="B353" s="101">
        <f>B280+B289+B297+B300+B303+B306+B309+B316+B319+B324+B285+B330+B334+B337+B348+B351</f>
        <v>59245.130000000005</v>
      </c>
      <c r="C353" s="107" t="s">
        <v>249</v>
      </c>
    </row>
    <row r="354" spans="1:3" x14ac:dyDescent="0.35">
      <c r="A354" s="89"/>
      <c r="B354" s="112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9947B5-5B2C-46EC-9B91-D1DF50AF54BC}">
  <dimension ref="A1:V114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45.6328125" customWidth="1"/>
    <col min="2" max="2" width="12.6328125" style="42" customWidth="1"/>
    <col min="3" max="3" width="10.6328125" style="42" customWidth="1"/>
    <col min="4" max="4" width="30.6328125" style="43" customWidth="1"/>
    <col min="5" max="11" width="9.6328125" customWidth="1"/>
    <col min="12" max="12" width="12.6328125" customWidth="1"/>
    <col min="13" max="20" width="9.6328125" customWidth="1"/>
  </cols>
  <sheetData>
    <row r="1" spans="1:20" ht="18.75" customHeight="1" x14ac:dyDescent="0.35">
      <c r="A1" s="116" t="s">
        <v>109</v>
      </c>
      <c r="B1" s="117"/>
      <c r="C1" s="118"/>
      <c r="D1" s="119"/>
      <c r="E1" s="120"/>
      <c r="F1" s="120"/>
      <c r="G1" s="120"/>
      <c r="H1" s="121"/>
      <c r="I1" s="121"/>
      <c r="J1" s="121"/>
      <c r="K1" s="121"/>
      <c r="L1" s="121">
        <f>L3</f>
        <v>2024</v>
      </c>
      <c r="M1" s="120"/>
      <c r="N1" s="120"/>
      <c r="O1" s="120"/>
      <c r="P1" s="120"/>
      <c r="Q1" s="120"/>
      <c r="R1" s="120"/>
      <c r="S1" s="122"/>
    </row>
    <row r="3" spans="1:20" x14ac:dyDescent="0.35">
      <c r="A3" s="8" t="s">
        <v>98</v>
      </c>
      <c r="B3" s="133" t="s">
        <v>99</v>
      </c>
      <c r="C3" s="133" t="s">
        <v>100</v>
      </c>
      <c r="D3" s="134" t="s">
        <v>101</v>
      </c>
      <c r="E3" s="8">
        <v>2017</v>
      </c>
      <c r="F3" s="8">
        <v>2018</v>
      </c>
      <c r="G3" s="8">
        <v>2019</v>
      </c>
      <c r="H3" s="8">
        <v>2020</v>
      </c>
      <c r="I3" s="8">
        <v>2021</v>
      </c>
      <c r="J3" s="8">
        <v>2022</v>
      </c>
      <c r="K3" s="8">
        <v>2023</v>
      </c>
      <c r="L3" s="8">
        <v>2024</v>
      </c>
      <c r="M3" s="8">
        <v>2025</v>
      </c>
      <c r="N3" s="8">
        <v>2026</v>
      </c>
      <c r="O3" s="8">
        <v>2027</v>
      </c>
      <c r="P3" s="8">
        <v>2028</v>
      </c>
      <c r="Q3" s="8">
        <v>2029</v>
      </c>
      <c r="R3" s="8">
        <v>2030</v>
      </c>
      <c r="S3" s="8">
        <v>2031</v>
      </c>
    </row>
    <row r="4" spans="1:20" x14ac:dyDescent="0.35">
      <c r="A4" t="s">
        <v>110</v>
      </c>
      <c r="B4" s="47" t="s">
        <v>111</v>
      </c>
      <c r="C4" s="48" t="s">
        <v>104</v>
      </c>
      <c r="D4" s="43" t="s">
        <v>112</v>
      </c>
      <c r="E4" s="49">
        <v>180</v>
      </c>
      <c r="F4" s="49">
        <v>180</v>
      </c>
      <c r="G4" s="49">
        <v>180</v>
      </c>
      <c r="H4" s="49">
        <v>180</v>
      </c>
      <c r="I4" s="49">
        <v>180</v>
      </c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</row>
    <row r="5" spans="1:20" x14ac:dyDescent="0.35">
      <c r="A5" t="s">
        <v>110</v>
      </c>
      <c r="B5" s="47" t="s">
        <v>111</v>
      </c>
      <c r="C5" s="48" t="s">
        <v>104</v>
      </c>
      <c r="D5" s="43" t="s">
        <v>112</v>
      </c>
      <c r="E5" s="49">
        <v>180</v>
      </c>
      <c r="F5" s="49">
        <v>180</v>
      </c>
      <c r="G5" s="49">
        <v>180</v>
      </c>
      <c r="H5" s="49">
        <v>180</v>
      </c>
      <c r="I5" s="49">
        <v>180</v>
      </c>
      <c r="J5" s="49"/>
      <c r="K5" s="49"/>
      <c r="L5" s="49"/>
      <c r="M5" s="49"/>
      <c r="N5" s="49"/>
      <c r="O5" s="49"/>
      <c r="P5" s="49"/>
      <c r="Q5" s="49"/>
      <c r="R5" s="49"/>
      <c r="S5" s="49"/>
      <c r="T5" s="50"/>
    </row>
    <row r="6" spans="1:20" x14ac:dyDescent="0.35">
      <c r="A6" t="s">
        <v>110</v>
      </c>
      <c r="B6" s="47" t="s">
        <v>111</v>
      </c>
      <c r="C6" s="48" t="s">
        <v>104</v>
      </c>
      <c r="D6" s="43" t="s">
        <v>112</v>
      </c>
      <c r="E6" s="49">
        <v>180</v>
      </c>
      <c r="F6" s="49">
        <v>180</v>
      </c>
      <c r="G6" s="49">
        <v>180</v>
      </c>
      <c r="H6" s="49">
        <v>180</v>
      </c>
      <c r="I6" s="49">
        <v>180</v>
      </c>
      <c r="J6" s="49"/>
      <c r="K6" s="49"/>
      <c r="L6" s="49"/>
      <c r="M6" s="49"/>
      <c r="N6" s="49"/>
      <c r="O6" s="49"/>
      <c r="P6" s="49"/>
      <c r="Q6" s="49"/>
      <c r="R6" s="49"/>
      <c r="S6" s="49"/>
      <c r="T6" s="50"/>
    </row>
    <row r="7" spans="1:20" x14ac:dyDescent="0.35">
      <c r="A7" t="s">
        <v>110</v>
      </c>
      <c r="B7" s="47" t="s">
        <v>111</v>
      </c>
      <c r="C7" s="42" t="s">
        <v>104</v>
      </c>
      <c r="D7" s="43" t="s">
        <v>112</v>
      </c>
      <c r="E7" s="49">
        <v>180</v>
      </c>
      <c r="F7" s="49">
        <v>180</v>
      </c>
      <c r="G7" s="49">
        <v>180</v>
      </c>
      <c r="H7" s="49">
        <v>180</v>
      </c>
      <c r="I7" s="49">
        <v>180</v>
      </c>
      <c r="J7" s="49"/>
      <c r="K7" s="49"/>
      <c r="L7" s="49"/>
      <c r="M7" s="49"/>
      <c r="N7" s="49"/>
      <c r="O7" s="49"/>
      <c r="P7" s="49"/>
      <c r="Q7" s="49"/>
      <c r="R7" s="49"/>
      <c r="S7" s="49"/>
      <c r="T7" s="50"/>
    </row>
    <row r="8" spans="1:20" x14ac:dyDescent="0.35">
      <c r="A8" t="s">
        <v>110</v>
      </c>
      <c r="B8" s="47" t="s">
        <v>111</v>
      </c>
      <c r="C8" s="42" t="s">
        <v>104</v>
      </c>
      <c r="D8" s="43" t="s">
        <v>112</v>
      </c>
      <c r="E8" s="49">
        <v>180</v>
      </c>
      <c r="F8" s="49">
        <v>180</v>
      </c>
      <c r="G8" s="49">
        <v>180</v>
      </c>
      <c r="H8" s="49">
        <v>180</v>
      </c>
      <c r="I8" s="49">
        <v>180</v>
      </c>
      <c r="J8" s="49"/>
      <c r="K8" s="49"/>
      <c r="L8" s="49"/>
      <c r="M8" s="49"/>
      <c r="N8" s="49"/>
      <c r="O8" s="49"/>
      <c r="P8" s="49"/>
      <c r="Q8" s="49"/>
      <c r="R8" s="49"/>
      <c r="S8" s="49"/>
      <c r="T8" s="50"/>
    </row>
    <row r="9" spans="1:20" x14ac:dyDescent="0.35">
      <c r="A9" t="s">
        <v>113</v>
      </c>
      <c r="B9" s="47" t="s">
        <v>114</v>
      </c>
      <c r="C9" s="42" t="s">
        <v>104</v>
      </c>
      <c r="D9" s="43" t="s">
        <v>112</v>
      </c>
      <c r="E9" s="49"/>
      <c r="F9" s="49"/>
      <c r="G9" s="49">
        <v>180</v>
      </c>
      <c r="H9" s="49">
        <v>180</v>
      </c>
      <c r="I9" s="49">
        <v>180</v>
      </c>
      <c r="J9" s="49">
        <v>180</v>
      </c>
      <c r="K9" s="49">
        <v>180</v>
      </c>
      <c r="L9" s="49"/>
      <c r="M9" s="49"/>
      <c r="N9" s="49"/>
      <c r="O9" s="49"/>
      <c r="P9" s="49"/>
      <c r="Q9" s="49"/>
      <c r="R9" s="49"/>
      <c r="S9" s="49"/>
      <c r="T9" s="50"/>
    </row>
    <row r="10" spans="1:20" x14ac:dyDescent="0.35">
      <c r="A10" t="s">
        <v>113</v>
      </c>
      <c r="B10" s="47" t="s">
        <v>114</v>
      </c>
      <c r="C10" s="42" t="s">
        <v>104</v>
      </c>
      <c r="D10" s="43" t="s">
        <v>112</v>
      </c>
      <c r="E10" s="49"/>
      <c r="F10" s="49"/>
      <c r="G10" s="49">
        <v>180</v>
      </c>
      <c r="H10" s="49">
        <v>180</v>
      </c>
      <c r="I10" s="49">
        <v>180</v>
      </c>
      <c r="J10" s="49">
        <v>180</v>
      </c>
      <c r="K10" s="49">
        <v>180</v>
      </c>
      <c r="L10" s="49"/>
      <c r="M10" s="49"/>
      <c r="N10" s="49"/>
      <c r="O10" s="49"/>
      <c r="P10" s="49"/>
      <c r="Q10" s="49"/>
      <c r="R10" s="49"/>
      <c r="S10" s="49"/>
      <c r="T10" s="50"/>
    </row>
    <row r="11" spans="1:20" x14ac:dyDescent="0.35">
      <c r="A11" t="s">
        <v>113</v>
      </c>
      <c r="B11" s="47" t="s">
        <v>114</v>
      </c>
      <c r="C11" s="42" t="s">
        <v>104</v>
      </c>
      <c r="D11" s="43" t="s">
        <v>112</v>
      </c>
      <c r="E11" s="49"/>
      <c r="F11" s="49"/>
      <c r="G11" s="49">
        <v>180</v>
      </c>
      <c r="H11" s="49">
        <v>180</v>
      </c>
      <c r="I11" s="49">
        <v>180</v>
      </c>
      <c r="J11" s="49">
        <v>180</v>
      </c>
      <c r="K11" s="49">
        <v>180</v>
      </c>
      <c r="L11" s="49"/>
      <c r="M11" s="49"/>
      <c r="N11" s="49"/>
      <c r="O11" s="49"/>
      <c r="P11" s="49"/>
      <c r="Q11" s="49"/>
      <c r="R11" s="49"/>
      <c r="S11" s="49"/>
      <c r="T11" s="50"/>
    </row>
    <row r="12" spans="1:20" x14ac:dyDescent="0.35">
      <c r="A12" t="s">
        <v>113</v>
      </c>
      <c r="B12" s="47" t="s">
        <v>114</v>
      </c>
      <c r="C12" s="42" t="s">
        <v>104</v>
      </c>
      <c r="D12" s="43" t="s">
        <v>112</v>
      </c>
      <c r="E12" s="49"/>
      <c r="F12" s="49"/>
      <c r="G12" s="49">
        <v>180</v>
      </c>
      <c r="H12" s="49">
        <v>180</v>
      </c>
      <c r="I12" s="49">
        <v>180</v>
      </c>
      <c r="J12" s="49">
        <v>180</v>
      </c>
      <c r="K12" s="49">
        <v>180</v>
      </c>
      <c r="L12" s="49"/>
      <c r="M12" s="49"/>
      <c r="N12" s="49"/>
      <c r="O12" s="49"/>
      <c r="P12" s="49"/>
      <c r="Q12" s="49"/>
      <c r="R12" s="49"/>
      <c r="S12" s="49"/>
      <c r="T12" s="50"/>
    </row>
    <row r="13" spans="1:20" x14ac:dyDescent="0.35">
      <c r="A13" t="s">
        <v>113</v>
      </c>
      <c r="B13" s="47" t="s">
        <v>114</v>
      </c>
      <c r="C13" s="42" t="s">
        <v>104</v>
      </c>
      <c r="D13" s="43" t="s">
        <v>112</v>
      </c>
      <c r="E13" s="49"/>
      <c r="F13" s="49"/>
      <c r="G13" s="49">
        <v>180</v>
      </c>
      <c r="H13" s="49">
        <v>180</v>
      </c>
      <c r="I13" s="49">
        <v>180</v>
      </c>
      <c r="J13" s="49">
        <v>180</v>
      </c>
      <c r="K13" s="49">
        <v>180</v>
      </c>
      <c r="L13" s="49"/>
      <c r="M13" s="49"/>
      <c r="N13" s="49"/>
      <c r="O13" s="49"/>
      <c r="P13" s="49"/>
      <c r="Q13" s="49"/>
      <c r="R13" s="49"/>
      <c r="S13" s="49"/>
      <c r="T13" s="50"/>
    </row>
    <row r="14" spans="1:20" x14ac:dyDescent="0.35">
      <c r="A14" s="51" t="s">
        <v>115</v>
      </c>
      <c r="B14" s="47" t="s">
        <v>116</v>
      </c>
      <c r="C14" s="42" t="s">
        <v>104</v>
      </c>
      <c r="E14" s="49"/>
      <c r="F14" s="49"/>
      <c r="G14" s="49"/>
      <c r="H14" s="49">
        <v>380</v>
      </c>
      <c r="I14" s="49">
        <v>380</v>
      </c>
      <c r="J14" s="49">
        <v>380</v>
      </c>
      <c r="K14" s="49">
        <v>380</v>
      </c>
      <c r="L14" s="69">
        <v>380</v>
      </c>
      <c r="M14" s="49"/>
      <c r="N14" s="49"/>
      <c r="O14" s="49"/>
      <c r="P14" s="49"/>
      <c r="Q14" s="49"/>
      <c r="R14" s="49"/>
      <c r="S14" s="49"/>
      <c r="T14" s="50"/>
    </row>
    <row r="15" spans="1:20" x14ac:dyDescent="0.35">
      <c r="A15" s="51" t="s">
        <v>117</v>
      </c>
      <c r="B15" s="47" t="s">
        <v>116</v>
      </c>
      <c r="C15" s="42" t="s">
        <v>104</v>
      </c>
      <c r="E15" s="49"/>
      <c r="F15" s="49"/>
      <c r="G15" s="49"/>
      <c r="H15" s="49">
        <v>380</v>
      </c>
      <c r="I15" s="49">
        <v>380</v>
      </c>
      <c r="J15" s="49">
        <v>380</v>
      </c>
      <c r="K15" s="49">
        <v>380</v>
      </c>
      <c r="L15" s="70">
        <v>380</v>
      </c>
      <c r="M15" s="49">
        <f>380</f>
        <v>380</v>
      </c>
      <c r="N15" s="49">
        <f>380</f>
        <v>380</v>
      </c>
      <c r="O15" s="49">
        <f>380</f>
        <v>380</v>
      </c>
      <c r="P15" s="49">
        <f>380</f>
        <v>380</v>
      </c>
      <c r="Q15" s="49">
        <f>380</f>
        <v>380</v>
      </c>
      <c r="R15" s="49"/>
      <c r="S15" s="49"/>
      <c r="T15" s="49"/>
    </row>
    <row r="16" spans="1:20" x14ac:dyDescent="0.35">
      <c r="A16" s="51" t="s">
        <v>117</v>
      </c>
      <c r="B16" s="47" t="s">
        <v>116</v>
      </c>
      <c r="C16" s="42" t="s">
        <v>104</v>
      </c>
      <c r="E16" s="49"/>
      <c r="F16" s="49"/>
      <c r="G16" s="49"/>
      <c r="H16" s="49">
        <v>380</v>
      </c>
      <c r="I16" s="49">
        <v>380</v>
      </c>
      <c r="J16" s="49">
        <v>380</v>
      </c>
      <c r="K16" s="49">
        <v>380</v>
      </c>
      <c r="L16" s="70">
        <v>380</v>
      </c>
      <c r="M16" s="49">
        <f>380</f>
        <v>380</v>
      </c>
      <c r="N16" s="49">
        <f>380</f>
        <v>380</v>
      </c>
      <c r="O16" s="49">
        <f>380</f>
        <v>380</v>
      </c>
      <c r="P16" s="49">
        <f>380</f>
        <v>380</v>
      </c>
      <c r="Q16" s="49">
        <f>380</f>
        <v>380</v>
      </c>
      <c r="R16" s="49"/>
      <c r="S16" s="49"/>
      <c r="T16" s="49"/>
    </row>
    <row r="17" spans="1:20" x14ac:dyDescent="0.35">
      <c r="A17" s="51" t="s">
        <v>117</v>
      </c>
      <c r="B17" s="47" t="s">
        <v>116</v>
      </c>
      <c r="C17" s="42" t="s">
        <v>104</v>
      </c>
      <c r="E17" s="49"/>
      <c r="F17" s="49"/>
      <c r="G17" s="49"/>
      <c r="H17" s="49">
        <v>380</v>
      </c>
      <c r="I17" s="49">
        <v>380</v>
      </c>
      <c r="J17" s="49">
        <v>380</v>
      </c>
      <c r="K17" s="49">
        <v>380</v>
      </c>
      <c r="L17" s="70">
        <v>380</v>
      </c>
      <c r="M17" s="49">
        <f>380</f>
        <v>380</v>
      </c>
      <c r="N17" s="49">
        <f>380</f>
        <v>380</v>
      </c>
      <c r="O17" s="49">
        <f>380</f>
        <v>380</v>
      </c>
      <c r="P17" s="49">
        <f>380</f>
        <v>380</v>
      </c>
      <c r="Q17" s="49">
        <f>380</f>
        <v>380</v>
      </c>
      <c r="R17" s="49"/>
      <c r="S17" s="49"/>
      <c r="T17" s="49"/>
    </row>
    <row r="18" spans="1:20" x14ac:dyDescent="0.35">
      <c r="A18" s="51" t="s">
        <v>117</v>
      </c>
      <c r="B18" s="47" t="s">
        <v>116</v>
      </c>
      <c r="C18" s="42" t="s">
        <v>104</v>
      </c>
      <c r="E18" s="49"/>
      <c r="F18" s="49"/>
      <c r="G18" s="49"/>
      <c r="H18" s="49">
        <v>380</v>
      </c>
      <c r="I18" s="49">
        <v>380</v>
      </c>
      <c r="J18" s="49">
        <v>380</v>
      </c>
      <c r="K18" s="49">
        <v>380</v>
      </c>
      <c r="L18" s="70">
        <v>380</v>
      </c>
      <c r="M18" s="49">
        <f>380</f>
        <v>380</v>
      </c>
      <c r="N18" s="49">
        <f>380</f>
        <v>380</v>
      </c>
      <c r="O18" s="49">
        <f>380</f>
        <v>380</v>
      </c>
      <c r="P18" s="49">
        <f>380</f>
        <v>380</v>
      </c>
      <c r="Q18" s="49">
        <f>380</f>
        <v>380</v>
      </c>
      <c r="R18" s="49"/>
      <c r="S18" s="49"/>
      <c r="T18" s="49"/>
    </row>
    <row r="19" spans="1:20" x14ac:dyDescent="0.35">
      <c r="A19" s="51" t="s">
        <v>117</v>
      </c>
      <c r="B19" s="47" t="s">
        <v>116</v>
      </c>
      <c r="C19" s="42" t="s">
        <v>104</v>
      </c>
      <c r="E19" s="49"/>
      <c r="F19" s="49"/>
      <c r="G19" s="49"/>
      <c r="H19" s="49">
        <v>380</v>
      </c>
      <c r="I19" s="49">
        <v>380</v>
      </c>
      <c r="J19" s="49">
        <v>380</v>
      </c>
      <c r="K19" s="49">
        <v>380</v>
      </c>
      <c r="L19" s="70">
        <v>380</v>
      </c>
      <c r="M19" s="49">
        <f>380</f>
        <v>380</v>
      </c>
      <c r="N19" s="49">
        <f>380</f>
        <v>380</v>
      </c>
      <c r="O19" s="49">
        <f>380</f>
        <v>380</v>
      </c>
      <c r="P19" s="49">
        <f>380</f>
        <v>380</v>
      </c>
      <c r="Q19" s="49">
        <f>380</f>
        <v>380</v>
      </c>
      <c r="R19" s="49"/>
      <c r="S19" s="49"/>
      <c r="T19" s="49"/>
    </row>
    <row r="20" spans="1:20" x14ac:dyDescent="0.35">
      <c r="A20" s="51" t="s">
        <v>118</v>
      </c>
      <c r="B20" s="47" t="s">
        <v>116</v>
      </c>
      <c r="C20" s="42" t="s">
        <v>104</v>
      </c>
      <c r="E20" s="49"/>
      <c r="F20" s="49"/>
      <c r="G20" s="49"/>
      <c r="H20" s="49">
        <v>380</v>
      </c>
      <c r="I20" s="49">
        <v>380</v>
      </c>
      <c r="J20" s="49">
        <v>380</v>
      </c>
      <c r="K20" s="49">
        <v>380</v>
      </c>
      <c r="L20" s="77">
        <v>380</v>
      </c>
      <c r="M20" s="49"/>
      <c r="N20" s="49"/>
      <c r="O20" s="49"/>
      <c r="P20" s="49"/>
      <c r="Q20" s="49"/>
      <c r="R20" s="49"/>
      <c r="S20" s="49"/>
      <c r="T20" s="49"/>
    </row>
    <row r="21" spans="1:20" x14ac:dyDescent="0.35">
      <c r="A21" s="51" t="s">
        <v>119</v>
      </c>
      <c r="B21" s="47" t="s">
        <v>116</v>
      </c>
      <c r="C21" s="42" t="s">
        <v>104</v>
      </c>
      <c r="E21" s="49"/>
      <c r="F21" s="49"/>
      <c r="G21" s="49"/>
      <c r="H21" s="49">
        <v>380</v>
      </c>
      <c r="I21" s="49">
        <v>380</v>
      </c>
      <c r="J21" s="49">
        <v>380</v>
      </c>
      <c r="K21" s="49">
        <v>380</v>
      </c>
      <c r="L21" s="70">
        <v>380</v>
      </c>
      <c r="M21" s="49">
        <f>380</f>
        <v>380</v>
      </c>
      <c r="N21" s="49">
        <f>380</f>
        <v>380</v>
      </c>
      <c r="O21" s="49">
        <f>380</f>
        <v>380</v>
      </c>
      <c r="P21" s="49">
        <f>380</f>
        <v>380</v>
      </c>
      <c r="Q21" s="49">
        <f>380</f>
        <v>380</v>
      </c>
      <c r="R21" s="49"/>
      <c r="S21" s="49"/>
      <c r="T21" s="49"/>
    </row>
    <row r="22" spans="1:20" x14ac:dyDescent="0.35">
      <c r="A22" s="51" t="s">
        <v>197</v>
      </c>
      <c r="B22" s="47" t="s">
        <v>116</v>
      </c>
      <c r="C22" s="42" t="s">
        <v>104</v>
      </c>
      <c r="E22" s="49"/>
      <c r="F22" s="49"/>
      <c r="G22" s="49"/>
      <c r="H22" s="49">
        <v>380</v>
      </c>
      <c r="I22" s="49">
        <v>380</v>
      </c>
      <c r="J22" s="49">
        <v>380</v>
      </c>
      <c r="K22" s="49">
        <v>380</v>
      </c>
      <c r="L22" s="70">
        <v>380</v>
      </c>
      <c r="M22" s="49"/>
      <c r="N22" s="49"/>
      <c r="O22" s="49"/>
      <c r="P22" s="49"/>
      <c r="Q22" s="49"/>
      <c r="R22" s="49"/>
      <c r="S22" s="49"/>
      <c r="T22" s="49"/>
    </row>
    <row r="23" spans="1:20" x14ac:dyDescent="0.35">
      <c r="A23" s="51" t="s">
        <v>120</v>
      </c>
      <c r="B23" s="47" t="s">
        <v>116</v>
      </c>
      <c r="C23" s="42" t="s">
        <v>104</v>
      </c>
      <c r="E23" s="49"/>
      <c r="F23" s="49"/>
      <c r="G23" s="49"/>
      <c r="H23" s="49">
        <v>380</v>
      </c>
      <c r="I23" s="49">
        <v>380</v>
      </c>
      <c r="J23" s="49">
        <v>380</v>
      </c>
      <c r="K23" s="49">
        <v>380</v>
      </c>
      <c r="L23" s="70">
        <v>380</v>
      </c>
      <c r="M23" s="49"/>
      <c r="N23" s="49"/>
      <c r="O23" s="49"/>
      <c r="P23" s="49"/>
      <c r="Q23" s="49"/>
      <c r="R23" s="49"/>
      <c r="S23" s="49"/>
      <c r="T23" s="49"/>
    </row>
    <row r="24" spans="1:20" x14ac:dyDescent="0.35">
      <c r="A24" s="52" t="s">
        <v>121</v>
      </c>
      <c r="B24" s="47" t="s">
        <v>116</v>
      </c>
      <c r="C24" s="42" t="s">
        <v>104</v>
      </c>
      <c r="D24" s="43" t="s">
        <v>112</v>
      </c>
      <c r="E24" s="49"/>
      <c r="F24" s="49"/>
      <c r="G24" s="49"/>
      <c r="H24" s="49">
        <v>200</v>
      </c>
      <c r="I24" s="49">
        <v>200</v>
      </c>
      <c r="J24" s="49">
        <v>200</v>
      </c>
      <c r="K24" s="49">
        <v>200</v>
      </c>
      <c r="L24" s="69">
        <v>200</v>
      </c>
      <c r="M24" s="49"/>
      <c r="N24" s="49"/>
      <c r="O24" s="49"/>
      <c r="P24" s="49"/>
      <c r="Q24" s="49"/>
      <c r="R24" s="49"/>
      <c r="S24" s="49"/>
      <c r="T24" s="50"/>
    </row>
    <row r="25" spans="1:20" x14ac:dyDescent="0.35">
      <c r="A25" s="52" t="s">
        <v>121</v>
      </c>
      <c r="B25" s="47" t="s">
        <v>116</v>
      </c>
      <c r="C25" s="42" t="s">
        <v>104</v>
      </c>
      <c r="D25" s="43" t="s">
        <v>112</v>
      </c>
      <c r="E25" s="49"/>
      <c r="F25" s="49"/>
      <c r="G25" s="49"/>
      <c r="H25" s="49">
        <v>200</v>
      </c>
      <c r="I25" s="49">
        <v>200</v>
      </c>
      <c r="J25" s="49">
        <v>200</v>
      </c>
      <c r="K25" s="49">
        <v>200</v>
      </c>
      <c r="L25" s="69">
        <v>200</v>
      </c>
      <c r="M25" s="49"/>
      <c r="N25" s="49"/>
      <c r="O25" s="49"/>
      <c r="P25" s="49"/>
      <c r="Q25" s="49"/>
      <c r="R25" s="49"/>
      <c r="S25" s="49"/>
      <c r="T25" s="50"/>
    </row>
    <row r="26" spans="1:20" x14ac:dyDescent="0.35">
      <c r="A26" s="52" t="s">
        <v>121</v>
      </c>
      <c r="B26" s="47" t="s">
        <v>116</v>
      </c>
      <c r="C26" s="42" t="s">
        <v>104</v>
      </c>
      <c r="D26" s="43" t="s">
        <v>112</v>
      </c>
      <c r="E26" s="49"/>
      <c r="F26" s="49"/>
      <c r="G26" s="49"/>
      <c r="H26" s="49">
        <v>200</v>
      </c>
      <c r="I26" s="49">
        <v>200</v>
      </c>
      <c r="J26" s="49">
        <v>200</v>
      </c>
      <c r="K26" s="49">
        <v>200</v>
      </c>
      <c r="L26" s="69">
        <v>200</v>
      </c>
      <c r="M26" s="49"/>
      <c r="N26" s="49"/>
      <c r="O26" s="49"/>
      <c r="P26" s="49"/>
      <c r="Q26" s="49"/>
      <c r="R26" s="49"/>
      <c r="S26" s="49"/>
      <c r="T26" s="50"/>
    </row>
    <row r="27" spans="1:20" x14ac:dyDescent="0.35">
      <c r="A27" s="52" t="s">
        <v>121</v>
      </c>
      <c r="B27" s="47" t="s">
        <v>116</v>
      </c>
      <c r="C27" s="42" t="s">
        <v>104</v>
      </c>
      <c r="D27" s="43" t="s">
        <v>112</v>
      </c>
      <c r="E27" s="49"/>
      <c r="F27" s="49"/>
      <c r="G27" s="49"/>
      <c r="H27" s="49">
        <v>200</v>
      </c>
      <c r="I27" s="49">
        <v>200</v>
      </c>
      <c r="J27" s="49">
        <v>200</v>
      </c>
      <c r="K27" s="49">
        <v>200</v>
      </c>
      <c r="L27" s="69">
        <v>200</v>
      </c>
      <c r="M27" s="49"/>
      <c r="N27" s="49"/>
      <c r="O27" s="49"/>
      <c r="P27" s="49"/>
      <c r="Q27" s="49"/>
      <c r="R27" s="49"/>
      <c r="S27" s="49"/>
      <c r="T27" s="50"/>
    </row>
    <row r="28" spans="1:20" x14ac:dyDescent="0.35">
      <c r="A28" s="52" t="s">
        <v>121</v>
      </c>
      <c r="B28" s="47" t="s">
        <v>116</v>
      </c>
      <c r="C28" s="42" t="s">
        <v>104</v>
      </c>
      <c r="D28" s="43" t="s">
        <v>112</v>
      </c>
      <c r="E28" s="49"/>
      <c r="F28" s="49"/>
      <c r="G28" s="49"/>
      <c r="H28" s="49">
        <v>200</v>
      </c>
      <c r="I28" s="49">
        <v>200</v>
      </c>
      <c r="J28" s="49">
        <v>200</v>
      </c>
      <c r="K28" s="49">
        <v>200</v>
      </c>
      <c r="L28" s="69">
        <v>200</v>
      </c>
      <c r="M28" s="49"/>
      <c r="N28" s="49"/>
      <c r="O28" s="49"/>
      <c r="P28" s="49"/>
      <c r="Q28" s="49"/>
      <c r="R28" s="49"/>
      <c r="S28" s="49"/>
      <c r="T28" s="50"/>
    </row>
    <row r="29" spans="1:20" x14ac:dyDescent="0.35">
      <c r="A29" s="52" t="s">
        <v>122</v>
      </c>
      <c r="B29" s="47" t="s">
        <v>116</v>
      </c>
      <c r="C29" s="42" t="s">
        <v>104</v>
      </c>
      <c r="E29" s="49"/>
      <c r="F29" s="49"/>
      <c r="G29" s="49"/>
      <c r="H29" s="49">
        <v>200</v>
      </c>
      <c r="I29" s="49">
        <f>190</f>
        <v>190</v>
      </c>
      <c r="J29" s="49">
        <f>190</f>
        <v>190</v>
      </c>
      <c r="K29" s="49">
        <f>190</f>
        <v>190</v>
      </c>
      <c r="L29" s="70">
        <f>190</f>
        <v>190</v>
      </c>
      <c r="M29" s="49">
        <f>190</f>
        <v>190</v>
      </c>
      <c r="N29" s="49">
        <f>190</f>
        <v>190</v>
      </c>
      <c r="O29" s="49">
        <f>190</f>
        <v>190</v>
      </c>
      <c r="P29" s="49">
        <f>190</f>
        <v>190</v>
      </c>
      <c r="Q29" s="49">
        <f>190</f>
        <v>190</v>
      </c>
      <c r="R29" s="49"/>
      <c r="S29" s="49"/>
      <c r="T29" s="49"/>
    </row>
    <row r="30" spans="1:20" x14ac:dyDescent="0.35">
      <c r="A30" s="51" t="s">
        <v>123</v>
      </c>
      <c r="B30" s="47" t="s">
        <v>116</v>
      </c>
      <c r="C30" s="42" t="s">
        <v>104</v>
      </c>
      <c r="E30" s="49"/>
      <c r="F30" s="49"/>
      <c r="G30" s="49"/>
      <c r="H30" s="49">
        <v>190</v>
      </c>
      <c r="I30" s="49">
        <v>190</v>
      </c>
      <c r="J30" s="49">
        <v>190</v>
      </c>
      <c r="K30" s="49">
        <v>190</v>
      </c>
      <c r="L30" s="70">
        <v>190</v>
      </c>
      <c r="M30" s="49"/>
      <c r="N30" s="49"/>
      <c r="O30" s="49"/>
      <c r="P30" s="49"/>
      <c r="Q30" s="49"/>
      <c r="R30" s="49"/>
      <c r="S30" s="49"/>
      <c r="T30" s="49"/>
    </row>
    <row r="31" spans="1:20" x14ac:dyDescent="0.35">
      <c r="A31" s="51" t="s">
        <v>124</v>
      </c>
      <c r="B31" s="47" t="s">
        <v>116</v>
      </c>
      <c r="C31" s="42" t="s">
        <v>104</v>
      </c>
      <c r="E31" s="49"/>
      <c r="F31" s="49"/>
      <c r="G31" s="49"/>
      <c r="H31" s="49">
        <v>190</v>
      </c>
      <c r="I31" s="49">
        <v>190</v>
      </c>
      <c r="J31" s="49">
        <v>190</v>
      </c>
      <c r="K31" s="49">
        <v>190</v>
      </c>
      <c r="L31" s="70">
        <v>190</v>
      </c>
      <c r="M31" s="49"/>
      <c r="N31" s="49"/>
      <c r="O31" s="49"/>
      <c r="P31" s="49"/>
      <c r="Q31" s="49"/>
      <c r="R31" s="49"/>
      <c r="S31" s="49"/>
      <c r="T31" s="49"/>
    </row>
    <row r="32" spans="1:20" x14ac:dyDescent="0.35">
      <c r="A32" s="51" t="s">
        <v>125</v>
      </c>
      <c r="B32" s="47" t="s">
        <v>116</v>
      </c>
      <c r="C32" s="42" t="s">
        <v>104</v>
      </c>
      <c r="E32" s="49"/>
      <c r="F32" s="49"/>
      <c r="G32" s="49"/>
      <c r="H32" s="49">
        <v>190</v>
      </c>
      <c r="I32" s="49">
        <v>190</v>
      </c>
      <c r="J32" s="49">
        <v>190</v>
      </c>
      <c r="K32" s="49">
        <v>190</v>
      </c>
      <c r="L32" s="70">
        <v>190</v>
      </c>
      <c r="M32" s="49"/>
      <c r="N32" s="49"/>
      <c r="O32" s="49"/>
      <c r="P32" s="49"/>
      <c r="Q32" s="49"/>
      <c r="R32" s="49"/>
      <c r="S32" s="49"/>
      <c r="T32" s="49"/>
    </row>
    <row r="33" spans="1:20" x14ac:dyDescent="0.35">
      <c r="A33" s="51" t="s">
        <v>126</v>
      </c>
      <c r="B33" s="47" t="s">
        <v>116</v>
      </c>
      <c r="C33" s="42" t="s">
        <v>104</v>
      </c>
      <c r="E33" s="49"/>
      <c r="F33" s="49"/>
      <c r="G33" s="49"/>
      <c r="H33" s="49">
        <v>190</v>
      </c>
      <c r="I33" s="49">
        <v>190</v>
      </c>
      <c r="J33" s="49">
        <f>380</f>
        <v>380</v>
      </c>
      <c r="K33" s="49">
        <f>380</f>
        <v>380</v>
      </c>
      <c r="L33" s="70">
        <f>380</f>
        <v>380</v>
      </c>
      <c r="M33" s="49">
        <f>380</f>
        <v>380</v>
      </c>
      <c r="N33" s="49">
        <f>380</f>
        <v>380</v>
      </c>
      <c r="O33" s="49">
        <f>380</f>
        <v>380</v>
      </c>
      <c r="P33" s="49">
        <f>380</f>
        <v>380</v>
      </c>
      <c r="Q33" s="49">
        <f>380</f>
        <v>380</v>
      </c>
      <c r="R33" s="49"/>
      <c r="S33" s="49"/>
      <c r="T33" s="49"/>
    </row>
    <row r="34" spans="1:20" x14ac:dyDescent="0.35">
      <c r="A34" s="51" t="s">
        <v>127</v>
      </c>
      <c r="B34" s="47" t="s">
        <v>116</v>
      </c>
      <c r="C34" s="42" t="s">
        <v>104</v>
      </c>
      <c r="E34" s="49"/>
      <c r="F34" s="49"/>
      <c r="G34" s="49"/>
      <c r="H34" s="49">
        <v>190</v>
      </c>
      <c r="I34" s="49">
        <f>190</f>
        <v>190</v>
      </c>
      <c r="J34" s="49">
        <f>380</f>
        <v>380</v>
      </c>
      <c r="K34" s="49">
        <f>380</f>
        <v>380</v>
      </c>
      <c r="L34" s="77">
        <f>380</f>
        <v>380</v>
      </c>
      <c r="M34" s="49">
        <f>380</f>
        <v>380</v>
      </c>
      <c r="N34" s="49">
        <f>380</f>
        <v>380</v>
      </c>
      <c r="O34" s="49">
        <f>380</f>
        <v>380</v>
      </c>
      <c r="P34" s="49">
        <f>380</f>
        <v>380</v>
      </c>
      <c r="Q34" s="49">
        <f>380</f>
        <v>380</v>
      </c>
      <c r="R34" s="49"/>
      <c r="S34" s="49"/>
      <c r="T34" s="49"/>
    </row>
    <row r="35" spans="1:20" x14ac:dyDescent="0.35">
      <c r="A35" s="51" t="s">
        <v>128</v>
      </c>
      <c r="B35" s="47" t="s">
        <v>116</v>
      </c>
      <c r="C35" s="42" t="s">
        <v>104</v>
      </c>
      <c r="E35" s="49"/>
      <c r="F35" s="49"/>
      <c r="G35" s="49"/>
      <c r="H35" s="49">
        <v>190</v>
      </c>
      <c r="I35" s="49">
        <v>190</v>
      </c>
      <c r="J35" s="49">
        <v>190</v>
      </c>
      <c r="K35" s="49">
        <v>190</v>
      </c>
      <c r="L35" s="70">
        <v>190</v>
      </c>
      <c r="M35" s="49"/>
      <c r="N35" s="49"/>
      <c r="O35" s="49"/>
      <c r="P35" s="49"/>
      <c r="Q35" s="49"/>
      <c r="R35" s="49"/>
      <c r="S35" s="49"/>
      <c r="T35" s="49"/>
    </row>
    <row r="36" spans="1:20" x14ac:dyDescent="0.35">
      <c r="A36" s="51" t="s">
        <v>129</v>
      </c>
      <c r="B36" s="47" t="s">
        <v>116</v>
      </c>
      <c r="C36" s="42" t="s">
        <v>104</v>
      </c>
      <c r="E36" s="49"/>
      <c r="F36" s="49"/>
      <c r="G36" s="49"/>
      <c r="H36" s="49">
        <v>190</v>
      </c>
      <c r="I36" s="49">
        <v>190</v>
      </c>
      <c r="J36" s="49">
        <v>190</v>
      </c>
      <c r="K36" s="49">
        <v>190</v>
      </c>
      <c r="L36" s="69">
        <v>190</v>
      </c>
      <c r="M36" s="49"/>
      <c r="N36" s="49"/>
      <c r="O36" s="49"/>
      <c r="P36" s="49"/>
      <c r="Q36" s="49"/>
      <c r="R36" s="49"/>
      <c r="S36" s="49"/>
      <c r="T36" s="50"/>
    </row>
    <row r="37" spans="1:20" x14ac:dyDescent="0.35">
      <c r="A37" s="51" t="s">
        <v>130</v>
      </c>
      <c r="B37" s="47" t="s">
        <v>116</v>
      </c>
      <c r="C37" s="42" t="s">
        <v>104</v>
      </c>
      <c r="E37" s="49"/>
      <c r="F37" s="49"/>
      <c r="G37" s="49"/>
      <c r="H37" s="49">
        <v>190</v>
      </c>
      <c r="I37" s="49">
        <v>190</v>
      </c>
      <c r="J37" s="49">
        <f>380</f>
        <v>380</v>
      </c>
      <c r="K37" s="49">
        <f>380</f>
        <v>380</v>
      </c>
      <c r="L37" s="70">
        <f>380</f>
        <v>380</v>
      </c>
      <c r="M37" s="49">
        <f>250</f>
        <v>250</v>
      </c>
      <c r="N37" s="49">
        <f>250</f>
        <v>250</v>
      </c>
      <c r="O37" s="49">
        <f>250</f>
        <v>250</v>
      </c>
      <c r="P37" s="49">
        <f>250</f>
        <v>250</v>
      </c>
      <c r="Q37" s="49">
        <f>250</f>
        <v>250</v>
      </c>
      <c r="R37" s="49"/>
      <c r="S37" s="49"/>
      <c r="T37" s="49"/>
    </row>
    <row r="38" spans="1:20" x14ac:dyDescent="0.35">
      <c r="A38" s="52" t="s">
        <v>121</v>
      </c>
      <c r="B38" s="47" t="s">
        <v>116</v>
      </c>
      <c r="C38" s="42" t="s">
        <v>104</v>
      </c>
      <c r="E38" s="49"/>
      <c r="F38" s="49"/>
      <c r="G38" s="53"/>
      <c r="H38" s="49">
        <v>200</v>
      </c>
      <c r="I38" s="49">
        <v>200</v>
      </c>
      <c r="J38" s="49">
        <v>200</v>
      </c>
      <c r="K38" s="49">
        <v>200</v>
      </c>
      <c r="L38" s="69">
        <v>200</v>
      </c>
      <c r="M38" s="49"/>
      <c r="N38" s="49"/>
      <c r="O38" s="49"/>
      <c r="P38" s="49"/>
      <c r="Q38" s="49"/>
      <c r="R38" s="49"/>
      <c r="S38" s="49"/>
      <c r="T38" s="50"/>
    </row>
    <row r="39" spans="1:20" x14ac:dyDescent="0.35">
      <c r="A39" s="51" t="s">
        <v>131</v>
      </c>
      <c r="B39" s="47" t="s">
        <v>116</v>
      </c>
      <c r="C39" s="42" t="s">
        <v>104</v>
      </c>
      <c r="E39" s="49"/>
      <c r="F39" s="49"/>
      <c r="G39" s="49"/>
      <c r="H39" s="49">
        <v>190</v>
      </c>
      <c r="I39" s="49">
        <v>190</v>
      </c>
      <c r="J39" s="49">
        <f>380</f>
        <v>380</v>
      </c>
      <c r="K39" s="49">
        <f>380</f>
        <v>380</v>
      </c>
      <c r="L39" s="70">
        <f>380</f>
        <v>380</v>
      </c>
      <c r="M39" s="49">
        <f>380</f>
        <v>380</v>
      </c>
      <c r="N39" s="49">
        <f>380</f>
        <v>380</v>
      </c>
      <c r="O39" s="49">
        <f>380</f>
        <v>380</v>
      </c>
      <c r="P39" s="49">
        <f>380</f>
        <v>380</v>
      </c>
      <c r="Q39" s="49">
        <f>380</f>
        <v>380</v>
      </c>
      <c r="R39" s="49"/>
      <c r="S39" s="49"/>
      <c r="T39" s="49"/>
    </row>
    <row r="40" spans="1:20" x14ac:dyDescent="0.35">
      <c r="A40" s="52" t="s">
        <v>132</v>
      </c>
      <c r="B40" s="47" t="s">
        <v>116</v>
      </c>
      <c r="C40" s="42" t="s">
        <v>104</v>
      </c>
      <c r="E40" s="49"/>
      <c r="F40" s="49"/>
      <c r="G40" s="49"/>
      <c r="H40" s="49">
        <v>500</v>
      </c>
      <c r="I40" s="49">
        <v>500</v>
      </c>
      <c r="J40" s="49">
        <v>500</v>
      </c>
      <c r="K40" s="49">
        <v>500</v>
      </c>
      <c r="L40" s="70">
        <v>500</v>
      </c>
      <c r="M40" s="49"/>
      <c r="N40" s="49"/>
      <c r="O40" s="49"/>
      <c r="P40" s="49"/>
      <c r="Q40" s="49"/>
      <c r="R40" s="49"/>
      <c r="S40" s="49"/>
      <c r="T40" s="49"/>
    </row>
    <row r="41" spans="1:20" x14ac:dyDescent="0.35">
      <c r="A41" s="51" t="s">
        <v>117</v>
      </c>
      <c r="B41" s="47" t="s">
        <v>116</v>
      </c>
      <c r="C41" s="42" t="s">
        <v>104</v>
      </c>
      <c r="E41" s="49"/>
      <c r="F41" s="49"/>
      <c r="G41" s="49"/>
      <c r="H41" s="49">
        <v>190</v>
      </c>
      <c r="I41" s="49">
        <v>190</v>
      </c>
      <c r="J41" s="49">
        <v>190</v>
      </c>
      <c r="K41" s="49">
        <v>190</v>
      </c>
      <c r="L41" s="69">
        <v>190</v>
      </c>
      <c r="M41" s="49"/>
      <c r="N41" s="49"/>
      <c r="O41" s="49"/>
      <c r="P41" s="49"/>
      <c r="Q41" s="49"/>
      <c r="R41" s="49"/>
      <c r="S41" s="49"/>
      <c r="T41" s="50"/>
    </row>
    <row r="42" spans="1:20" x14ac:dyDescent="0.35">
      <c r="A42" s="51" t="s">
        <v>117</v>
      </c>
      <c r="B42" s="47" t="s">
        <v>116</v>
      </c>
      <c r="C42" s="42" t="s">
        <v>104</v>
      </c>
      <c r="E42" s="49"/>
      <c r="F42" s="49"/>
      <c r="G42" s="49"/>
      <c r="H42" s="49">
        <v>380</v>
      </c>
      <c r="I42" s="49">
        <v>380</v>
      </c>
      <c r="J42" s="49">
        <v>380</v>
      </c>
      <c r="K42" s="49">
        <v>380</v>
      </c>
      <c r="L42" s="69">
        <v>380</v>
      </c>
      <c r="M42" s="49">
        <f>380</f>
        <v>380</v>
      </c>
      <c r="N42" s="49">
        <f>380</f>
        <v>380</v>
      </c>
      <c r="O42" s="49">
        <f>380</f>
        <v>380</v>
      </c>
      <c r="P42" s="49">
        <f>380</f>
        <v>380</v>
      </c>
      <c r="Q42" s="49">
        <f>380</f>
        <v>380</v>
      </c>
      <c r="R42" s="49"/>
      <c r="S42" s="49"/>
      <c r="T42" s="50"/>
    </row>
    <row r="43" spans="1:20" x14ac:dyDescent="0.35">
      <c r="A43" s="51" t="s">
        <v>133</v>
      </c>
      <c r="B43" s="47" t="s">
        <v>116</v>
      </c>
      <c r="C43" s="42" t="s">
        <v>104</v>
      </c>
      <c r="E43" s="49"/>
      <c r="F43" s="49"/>
      <c r="G43" s="49"/>
      <c r="H43" s="49">
        <f>190</f>
        <v>190</v>
      </c>
      <c r="I43" s="49">
        <f>190</f>
        <v>190</v>
      </c>
      <c r="J43" s="49">
        <f>190</f>
        <v>190</v>
      </c>
      <c r="K43" s="49">
        <f>190</f>
        <v>190</v>
      </c>
      <c r="L43" s="70">
        <f>190</f>
        <v>190</v>
      </c>
      <c r="M43" s="49">
        <f>190</f>
        <v>190</v>
      </c>
      <c r="N43" s="49">
        <f>190</f>
        <v>190</v>
      </c>
      <c r="O43" s="49">
        <f>190</f>
        <v>190</v>
      </c>
      <c r="P43" s="49">
        <f>190</f>
        <v>190</v>
      </c>
      <c r="Q43" s="49">
        <f>190</f>
        <v>190</v>
      </c>
      <c r="R43" s="49"/>
      <c r="S43" s="49"/>
      <c r="T43" s="49"/>
    </row>
    <row r="44" spans="1:20" x14ac:dyDescent="0.35">
      <c r="A44" s="51" t="s">
        <v>134</v>
      </c>
      <c r="B44" s="47" t="s">
        <v>116</v>
      </c>
      <c r="C44" s="42" t="s">
        <v>104</v>
      </c>
      <c r="E44" s="49"/>
      <c r="F44" s="49"/>
      <c r="G44" s="49"/>
      <c r="H44" s="49">
        <f>190</f>
        <v>190</v>
      </c>
      <c r="I44" s="49">
        <f>190</f>
        <v>190</v>
      </c>
      <c r="J44" s="49">
        <f>190</f>
        <v>190</v>
      </c>
      <c r="K44" s="49">
        <f>190</f>
        <v>190</v>
      </c>
      <c r="L44" s="70">
        <f>190</f>
        <v>190</v>
      </c>
      <c r="M44" s="49">
        <f>190</f>
        <v>190</v>
      </c>
      <c r="N44" s="49">
        <f>190</f>
        <v>190</v>
      </c>
      <c r="O44" s="49">
        <f>190</f>
        <v>190</v>
      </c>
      <c r="P44" s="49">
        <f>190</f>
        <v>190</v>
      </c>
      <c r="Q44" s="49">
        <f>190</f>
        <v>190</v>
      </c>
      <c r="R44" s="49"/>
      <c r="S44" s="49"/>
      <c r="T44" s="49"/>
    </row>
    <row r="45" spans="1:20" x14ac:dyDescent="0.35">
      <c r="A45" s="51" t="s">
        <v>135</v>
      </c>
      <c r="B45" s="47" t="s">
        <v>116</v>
      </c>
      <c r="C45" s="42" t="s">
        <v>104</v>
      </c>
      <c r="E45" s="49"/>
      <c r="F45" s="49"/>
      <c r="G45" s="49"/>
      <c r="H45" s="49">
        <f>190</f>
        <v>190</v>
      </c>
      <c r="I45" s="49">
        <f>190</f>
        <v>190</v>
      </c>
      <c r="J45" s="49">
        <f>380</f>
        <v>380</v>
      </c>
      <c r="K45" s="49">
        <f>380</f>
        <v>380</v>
      </c>
      <c r="L45" s="70">
        <f>380</f>
        <v>380</v>
      </c>
      <c r="M45" s="49"/>
      <c r="N45" s="49"/>
      <c r="O45" s="49"/>
      <c r="P45" s="49"/>
      <c r="Q45" s="49"/>
      <c r="R45" s="49"/>
      <c r="S45" s="49"/>
      <c r="T45" s="49"/>
    </row>
    <row r="46" spans="1:20" x14ac:dyDescent="0.35">
      <c r="A46" s="46" t="s">
        <v>136</v>
      </c>
      <c r="B46" s="47" t="s">
        <v>116</v>
      </c>
      <c r="C46" s="42" t="s">
        <v>104</v>
      </c>
      <c r="E46" s="49"/>
      <c r="F46" s="49"/>
      <c r="G46" s="49"/>
      <c r="H46" s="49">
        <f>190</f>
        <v>190</v>
      </c>
      <c r="I46" s="49">
        <f>190</f>
        <v>190</v>
      </c>
      <c r="J46" s="49">
        <f>190</f>
        <v>190</v>
      </c>
      <c r="K46" s="49">
        <f>190</f>
        <v>190</v>
      </c>
      <c r="L46" s="69">
        <f>190</f>
        <v>190</v>
      </c>
      <c r="M46" s="49"/>
      <c r="N46" s="49"/>
      <c r="O46" s="49"/>
      <c r="P46" s="49"/>
      <c r="Q46" s="49"/>
      <c r="R46" s="49"/>
      <c r="S46" s="49"/>
      <c r="T46" s="50"/>
    </row>
    <row r="47" spans="1:20" x14ac:dyDescent="0.35">
      <c r="A47" s="46" t="s">
        <v>136</v>
      </c>
      <c r="B47" s="47" t="s">
        <v>116</v>
      </c>
      <c r="C47" s="42" t="s">
        <v>104</v>
      </c>
      <c r="E47" s="49"/>
      <c r="F47" s="49"/>
      <c r="G47" s="49"/>
      <c r="H47" s="49">
        <f>190</f>
        <v>190</v>
      </c>
      <c r="I47" s="49">
        <f>190</f>
        <v>190</v>
      </c>
      <c r="J47" s="49">
        <f>190</f>
        <v>190</v>
      </c>
      <c r="K47" s="49">
        <f>190</f>
        <v>190</v>
      </c>
      <c r="L47" s="69">
        <f>190</f>
        <v>190</v>
      </c>
      <c r="M47" s="49"/>
      <c r="N47" s="49"/>
      <c r="O47" s="49"/>
      <c r="P47" s="49"/>
      <c r="Q47" s="49"/>
      <c r="R47" s="49"/>
      <c r="S47" s="49"/>
      <c r="T47" s="50"/>
    </row>
    <row r="48" spans="1:20" x14ac:dyDescent="0.35">
      <c r="A48" s="46" t="s">
        <v>137</v>
      </c>
      <c r="B48" s="47" t="s">
        <v>116</v>
      </c>
      <c r="C48" s="42" t="s">
        <v>104</v>
      </c>
      <c r="E48" s="49"/>
      <c r="F48" s="49"/>
      <c r="G48" s="49"/>
      <c r="H48" s="49">
        <f>190</f>
        <v>190</v>
      </c>
      <c r="I48" s="49">
        <f>190</f>
        <v>190</v>
      </c>
      <c r="J48" s="49">
        <f>190</f>
        <v>190</v>
      </c>
      <c r="K48" s="49">
        <f>190</f>
        <v>190</v>
      </c>
      <c r="L48" s="69">
        <f>190</f>
        <v>190</v>
      </c>
      <c r="M48" s="49"/>
      <c r="N48" s="49"/>
      <c r="O48" s="49"/>
      <c r="P48" s="49"/>
      <c r="Q48" s="49"/>
      <c r="R48" s="49"/>
      <c r="S48" s="49"/>
      <c r="T48" s="50"/>
    </row>
    <row r="49" spans="1:20" x14ac:dyDescent="0.35">
      <c r="A49" s="46" t="s">
        <v>138</v>
      </c>
      <c r="B49" s="47" t="s">
        <v>116</v>
      </c>
      <c r="C49" s="42" t="s">
        <v>104</v>
      </c>
      <c r="E49" s="49"/>
      <c r="F49" s="49"/>
      <c r="G49" s="49"/>
      <c r="H49" s="49">
        <f>380</f>
        <v>380</v>
      </c>
      <c r="I49" s="49">
        <f>380</f>
        <v>380</v>
      </c>
      <c r="J49" s="49">
        <f>380</f>
        <v>380</v>
      </c>
      <c r="K49" s="49">
        <f>380</f>
        <v>380</v>
      </c>
      <c r="L49" s="77">
        <f>380</f>
        <v>380</v>
      </c>
      <c r="M49" s="49"/>
      <c r="N49" s="49"/>
      <c r="O49" s="49"/>
      <c r="P49" s="49"/>
      <c r="Q49" s="49"/>
      <c r="R49" s="49"/>
      <c r="S49" s="49"/>
      <c r="T49" s="49"/>
    </row>
    <row r="50" spans="1:20" x14ac:dyDescent="0.35">
      <c r="A50" s="46" t="s">
        <v>139</v>
      </c>
      <c r="B50" s="47" t="s">
        <v>116</v>
      </c>
      <c r="C50" s="42" t="s">
        <v>104</v>
      </c>
      <c r="E50" s="49"/>
      <c r="F50" s="49"/>
      <c r="G50" s="49"/>
      <c r="H50" s="49">
        <f>380</f>
        <v>380</v>
      </c>
      <c r="I50" s="49">
        <f>380</f>
        <v>380</v>
      </c>
      <c r="J50" s="49">
        <f>380</f>
        <v>380</v>
      </c>
      <c r="K50" s="49">
        <f>380</f>
        <v>380</v>
      </c>
      <c r="L50" s="70">
        <f>380</f>
        <v>380</v>
      </c>
      <c r="M50" s="49"/>
      <c r="N50" s="49"/>
      <c r="O50" s="49"/>
      <c r="P50" s="49"/>
      <c r="Q50" s="49"/>
      <c r="R50" s="49"/>
      <c r="S50" s="49"/>
      <c r="T50" s="49"/>
    </row>
    <row r="51" spans="1:20" x14ac:dyDescent="0.35">
      <c r="A51" s="46" t="s">
        <v>117</v>
      </c>
      <c r="B51" s="47" t="s">
        <v>116</v>
      </c>
      <c r="C51" s="42" t="s">
        <v>104</v>
      </c>
      <c r="E51" s="49"/>
      <c r="F51" s="49"/>
      <c r="G51" s="49"/>
      <c r="H51" s="49">
        <f>190</f>
        <v>190</v>
      </c>
      <c r="I51" s="49">
        <f>190</f>
        <v>190</v>
      </c>
      <c r="J51" s="49">
        <f>190</f>
        <v>190</v>
      </c>
      <c r="K51" s="49">
        <f>190</f>
        <v>190</v>
      </c>
      <c r="L51" s="69">
        <f>190</f>
        <v>190</v>
      </c>
      <c r="M51" s="49"/>
      <c r="N51" s="49"/>
      <c r="O51" s="49"/>
      <c r="P51" s="49"/>
      <c r="Q51" s="49"/>
      <c r="R51" s="49"/>
      <c r="S51" s="49"/>
      <c r="T51" s="50"/>
    </row>
    <row r="52" spans="1:20" x14ac:dyDescent="0.35">
      <c r="A52" s="46" t="s">
        <v>117</v>
      </c>
      <c r="B52" s="47" t="s">
        <v>116</v>
      </c>
      <c r="C52" s="42" t="s">
        <v>104</v>
      </c>
      <c r="E52" s="49"/>
      <c r="F52" s="49"/>
      <c r="G52" s="49"/>
      <c r="H52" s="49">
        <f>190</f>
        <v>190</v>
      </c>
      <c r="I52" s="49">
        <f>190</f>
        <v>190</v>
      </c>
      <c r="J52" s="49">
        <f>190</f>
        <v>190</v>
      </c>
      <c r="K52" s="49">
        <f>190</f>
        <v>190</v>
      </c>
      <c r="L52" s="69">
        <f>190</f>
        <v>190</v>
      </c>
      <c r="M52" s="49"/>
      <c r="N52" s="49"/>
      <c r="O52" s="49"/>
      <c r="P52" s="49"/>
      <c r="Q52" s="49"/>
      <c r="R52" s="49"/>
      <c r="S52" s="49"/>
      <c r="T52" s="50"/>
    </row>
    <row r="53" spans="1:20" x14ac:dyDescent="0.35">
      <c r="A53" s="46" t="s">
        <v>117</v>
      </c>
      <c r="B53" s="47" t="s">
        <v>116</v>
      </c>
      <c r="C53" s="42" t="s">
        <v>104</v>
      </c>
      <c r="E53" s="49"/>
      <c r="F53" s="49"/>
      <c r="G53" s="49"/>
      <c r="H53" s="49">
        <f>190</f>
        <v>190</v>
      </c>
      <c r="I53" s="49">
        <f>190</f>
        <v>190</v>
      </c>
      <c r="J53" s="49">
        <f>190</f>
        <v>190</v>
      </c>
      <c r="K53" s="49">
        <f>190</f>
        <v>190</v>
      </c>
      <c r="L53" s="69">
        <f>190</f>
        <v>190</v>
      </c>
      <c r="M53" s="49">
        <f>380</f>
        <v>380</v>
      </c>
      <c r="N53" s="49">
        <f>380</f>
        <v>380</v>
      </c>
      <c r="O53" s="49">
        <f>380</f>
        <v>380</v>
      </c>
      <c r="P53" s="49">
        <f>380</f>
        <v>380</v>
      </c>
      <c r="Q53" s="49">
        <f>380</f>
        <v>380</v>
      </c>
      <c r="R53" s="49"/>
      <c r="S53" s="49"/>
      <c r="T53" s="50"/>
    </row>
    <row r="54" spans="1:20" x14ac:dyDescent="0.35">
      <c r="A54" s="46" t="s">
        <v>140</v>
      </c>
      <c r="B54" s="47" t="s">
        <v>116</v>
      </c>
      <c r="C54" s="42" t="s">
        <v>104</v>
      </c>
      <c r="E54" s="49"/>
      <c r="F54" s="49"/>
      <c r="G54" s="49"/>
      <c r="H54" s="49">
        <f>380</f>
        <v>380</v>
      </c>
      <c r="I54" s="49">
        <f>380</f>
        <v>380</v>
      </c>
      <c r="J54" s="49">
        <f>380</f>
        <v>380</v>
      </c>
      <c r="K54" s="49">
        <f>380</f>
        <v>380</v>
      </c>
      <c r="L54" s="70">
        <f>380</f>
        <v>380</v>
      </c>
      <c r="M54" s="49"/>
      <c r="N54" s="49"/>
      <c r="O54" s="49"/>
      <c r="P54" s="49"/>
      <c r="Q54" s="49"/>
      <c r="R54" s="49"/>
      <c r="S54" s="49"/>
      <c r="T54" s="49"/>
    </row>
    <row r="55" spans="1:20" x14ac:dyDescent="0.35">
      <c r="A55" s="54" t="s">
        <v>141</v>
      </c>
      <c r="B55" s="47" t="s">
        <v>116</v>
      </c>
      <c r="C55" s="42" t="s">
        <v>104</v>
      </c>
      <c r="E55" s="49"/>
      <c r="F55" s="49"/>
      <c r="G55" s="49"/>
      <c r="H55" s="49">
        <f>190</f>
        <v>190</v>
      </c>
      <c r="I55" s="49">
        <f>190</f>
        <v>190</v>
      </c>
      <c r="J55" s="49">
        <f>190</f>
        <v>190</v>
      </c>
      <c r="K55" s="49">
        <f>190</f>
        <v>190</v>
      </c>
      <c r="L55" s="70">
        <f>190</f>
        <v>190</v>
      </c>
      <c r="M55" s="49"/>
      <c r="N55" s="49"/>
      <c r="O55" s="49"/>
      <c r="P55" s="49"/>
      <c r="Q55" s="49"/>
      <c r="R55" s="49"/>
      <c r="S55" s="49"/>
      <c r="T55" s="49"/>
    </row>
    <row r="56" spans="1:20" x14ac:dyDescent="0.35">
      <c r="A56" s="46" t="s">
        <v>142</v>
      </c>
      <c r="B56" s="47" t="s">
        <v>116</v>
      </c>
      <c r="C56" s="42" t="s">
        <v>104</v>
      </c>
      <c r="E56" s="49"/>
      <c r="F56" s="49"/>
      <c r="G56" s="49"/>
      <c r="H56" s="49">
        <f>190</f>
        <v>190</v>
      </c>
      <c r="I56" s="49">
        <f>190</f>
        <v>190</v>
      </c>
      <c r="J56" s="49">
        <f>190</f>
        <v>190</v>
      </c>
      <c r="K56" s="49">
        <f>190</f>
        <v>190</v>
      </c>
      <c r="L56" s="70">
        <f>190</f>
        <v>190</v>
      </c>
      <c r="M56" s="49">
        <f>380</f>
        <v>380</v>
      </c>
      <c r="N56" s="49">
        <f>380</f>
        <v>380</v>
      </c>
      <c r="O56" s="49">
        <f>380</f>
        <v>380</v>
      </c>
      <c r="P56" s="49">
        <f>380</f>
        <v>380</v>
      </c>
      <c r="Q56" s="49">
        <f>380</f>
        <v>380</v>
      </c>
      <c r="R56" s="49"/>
      <c r="S56" s="49"/>
      <c r="T56" s="49"/>
    </row>
    <row r="57" spans="1:20" x14ac:dyDescent="0.35">
      <c r="A57" s="46" t="s">
        <v>143</v>
      </c>
      <c r="B57" s="47" t="s">
        <v>116</v>
      </c>
      <c r="C57" s="42" t="s">
        <v>104</v>
      </c>
      <c r="E57" s="49"/>
      <c r="F57" s="49"/>
      <c r="G57" s="49"/>
      <c r="H57" s="49">
        <f>190</f>
        <v>190</v>
      </c>
      <c r="I57" s="49">
        <f>190</f>
        <v>190</v>
      </c>
      <c r="J57" s="49">
        <f>380</f>
        <v>380</v>
      </c>
      <c r="K57" s="49">
        <f>380</f>
        <v>380</v>
      </c>
      <c r="L57" s="70">
        <f>380</f>
        <v>380</v>
      </c>
      <c r="M57" s="49">
        <f>380</f>
        <v>380</v>
      </c>
      <c r="N57" s="49">
        <f>380</f>
        <v>380</v>
      </c>
      <c r="O57" s="49">
        <f>380</f>
        <v>380</v>
      </c>
      <c r="P57" s="49">
        <f>380</f>
        <v>380</v>
      </c>
      <c r="Q57" s="49">
        <f>380</f>
        <v>380</v>
      </c>
      <c r="R57" s="49"/>
      <c r="S57" s="49"/>
      <c r="T57" s="49"/>
    </row>
    <row r="58" spans="1:20" x14ac:dyDescent="0.35">
      <c r="A58" s="46" t="s">
        <v>144</v>
      </c>
      <c r="B58" s="47" t="s">
        <v>116</v>
      </c>
      <c r="C58" s="42" t="s">
        <v>104</v>
      </c>
      <c r="E58" s="49"/>
      <c r="F58" s="49"/>
      <c r="G58" s="49"/>
      <c r="H58" s="49"/>
      <c r="I58" s="49">
        <f>190</f>
        <v>190</v>
      </c>
      <c r="J58" s="49">
        <f>380</f>
        <v>380</v>
      </c>
      <c r="K58" s="49">
        <f>380</f>
        <v>380</v>
      </c>
      <c r="L58" s="70">
        <f>380</f>
        <v>380</v>
      </c>
      <c r="M58" s="49">
        <f>380</f>
        <v>380</v>
      </c>
      <c r="N58" s="49">
        <f>380</f>
        <v>380</v>
      </c>
      <c r="O58" s="49">
        <f>380</f>
        <v>380</v>
      </c>
      <c r="P58" s="49">
        <f>380</f>
        <v>380</v>
      </c>
      <c r="Q58" s="49">
        <f>380</f>
        <v>380</v>
      </c>
      <c r="R58" s="49"/>
      <c r="S58" s="49"/>
      <c r="T58" s="49"/>
    </row>
    <row r="59" spans="1:20" x14ac:dyDescent="0.35">
      <c r="A59" s="46" t="s">
        <v>102</v>
      </c>
      <c r="B59" s="47" t="s">
        <v>116</v>
      </c>
      <c r="C59" s="42" t="s">
        <v>104</v>
      </c>
      <c r="E59" s="49"/>
      <c r="F59" s="49"/>
      <c r="G59" s="49"/>
      <c r="H59" s="49">
        <f>190</f>
        <v>190</v>
      </c>
      <c r="I59" s="49">
        <f>190</f>
        <v>190</v>
      </c>
      <c r="J59" s="49">
        <f>190</f>
        <v>190</v>
      </c>
      <c r="K59" s="49">
        <f>190</f>
        <v>190</v>
      </c>
      <c r="L59" s="70">
        <f>190</f>
        <v>190</v>
      </c>
      <c r="M59" s="49">
        <f>190</f>
        <v>190</v>
      </c>
      <c r="N59" s="49">
        <f>190</f>
        <v>190</v>
      </c>
      <c r="O59" s="49">
        <f>190</f>
        <v>190</v>
      </c>
      <c r="P59" s="49">
        <f>190</f>
        <v>190</v>
      </c>
      <c r="Q59" s="49">
        <f>190</f>
        <v>190</v>
      </c>
      <c r="R59" s="49"/>
      <c r="S59" s="49"/>
      <c r="T59" s="49"/>
    </row>
    <row r="60" spans="1:20" x14ac:dyDescent="0.35">
      <c r="A60" s="46" t="s">
        <v>102</v>
      </c>
      <c r="B60" s="47" t="s">
        <v>116</v>
      </c>
      <c r="C60" s="42" t="s">
        <v>104</v>
      </c>
      <c r="E60" s="49"/>
      <c r="F60" s="49"/>
      <c r="G60" s="49"/>
      <c r="H60" s="49">
        <f>190</f>
        <v>190</v>
      </c>
      <c r="I60" s="49">
        <f>190</f>
        <v>190</v>
      </c>
      <c r="J60" s="49">
        <f>190</f>
        <v>190</v>
      </c>
      <c r="K60" s="49">
        <f>190</f>
        <v>190</v>
      </c>
      <c r="L60" s="70">
        <f>190</f>
        <v>190</v>
      </c>
      <c r="M60" s="49">
        <f>190</f>
        <v>190</v>
      </c>
      <c r="N60" s="49">
        <f>190</f>
        <v>190</v>
      </c>
      <c r="O60" s="49">
        <f>190</f>
        <v>190</v>
      </c>
      <c r="P60" s="49">
        <f>190</f>
        <v>190</v>
      </c>
      <c r="Q60" s="49">
        <f>190</f>
        <v>190</v>
      </c>
      <c r="R60" s="49"/>
      <c r="S60" s="49"/>
      <c r="T60" s="49"/>
    </row>
    <row r="61" spans="1:20" x14ac:dyDescent="0.35">
      <c r="A61" s="46" t="s">
        <v>102</v>
      </c>
      <c r="B61" s="47" t="s">
        <v>116</v>
      </c>
      <c r="C61" s="42" t="s">
        <v>104</v>
      </c>
      <c r="E61" s="49"/>
      <c r="F61" s="49"/>
      <c r="G61" s="49"/>
      <c r="H61" s="49">
        <f>190</f>
        <v>190</v>
      </c>
      <c r="I61" s="49">
        <f>190</f>
        <v>190</v>
      </c>
      <c r="J61" s="49">
        <f>190</f>
        <v>190</v>
      </c>
      <c r="K61" s="49">
        <f>190</f>
        <v>190</v>
      </c>
      <c r="L61" s="70">
        <f>190</f>
        <v>190</v>
      </c>
      <c r="M61" s="49">
        <f>190</f>
        <v>190</v>
      </c>
      <c r="N61" s="49">
        <f>190</f>
        <v>190</v>
      </c>
      <c r="O61" s="49">
        <f>190</f>
        <v>190</v>
      </c>
      <c r="P61" s="49">
        <f>190</f>
        <v>190</v>
      </c>
      <c r="Q61" s="49">
        <f>190</f>
        <v>190</v>
      </c>
      <c r="R61" s="49"/>
      <c r="S61" s="49"/>
      <c r="T61" s="49"/>
    </row>
    <row r="62" spans="1:20" x14ac:dyDescent="0.35">
      <c r="A62" s="46" t="s">
        <v>102</v>
      </c>
      <c r="B62" s="47" t="s">
        <v>116</v>
      </c>
      <c r="C62" s="42" t="s">
        <v>104</v>
      </c>
      <c r="E62" s="49"/>
      <c r="F62" s="49"/>
      <c r="G62" s="49"/>
      <c r="H62" s="49">
        <f>190</f>
        <v>190</v>
      </c>
      <c r="I62" s="49">
        <f>190</f>
        <v>190</v>
      </c>
      <c r="J62" s="49">
        <f>190</f>
        <v>190</v>
      </c>
      <c r="K62" s="49">
        <f>190</f>
        <v>190</v>
      </c>
      <c r="L62" s="70">
        <f>190</f>
        <v>190</v>
      </c>
      <c r="M62" s="49">
        <f>190</f>
        <v>190</v>
      </c>
      <c r="N62" s="49">
        <f>190</f>
        <v>190</v>
      </c>
      <c r="O62" s="49">
        <f>190</f>
        <v>190</v>
      </c>
      <c r="P62" s="49">
        <f>190</f>
        <v>190</v>
      </c>
      <c r="Q62" s="49">
        <f>190</f>
        <v>190</v>
      </c>
      <c r="R62" s="49"/>
      <c r="S62" s="49"/>
      <c r="T62" s="49"/>
    </row>
    <row r="63" spans="1:20" x14ac:dyDescent="0.35">
      <c r="A63" s="46" t="s">
        <v>102</v>
      </c>
      <c r="B63" s="47" t="s">
        <v>116</v>
      </c>
      <c r="C63" s="42" t="s">
        <v>104</v>
      </c>
      <c r="E63" s="49"/>
      <c r="F63" s="49"/>
      <c r="G63" s="49"/>
      <c r="H63" s="49">
        <f>190</f>
        <v>190</v>
      </c>
      <c r="I63" s="49">
        <f>190</f>
        <v>190</v>
      </c>
      <c r="J63" s="49">
        <f>190</f>
        <v>190</v>
      </c>
      <c r="K63" s="49">
        <f>190</f>
        <v>190</v>
      </c>
      <c r="L63" s="70">
        <f>190</f>
        <v>190</v>
      </c>
      <c r="M63" s="49">
        <f>190</f>
        <v>190</v>
      </c>
      <c r="N63" s="49">
        <f>190</f>
        <v>190</v>
      </c>
      <c r="O63" s="49">
        <f>190</f>
        <v>190</v>
      </c>
      <c r="P63" s="49">
        <f>190</f>
        <v>190</v>
      </c>
      <c r="Q63" s="49">
        <f>190</f>
        <v>190</v>
      </c>
      <c r="R63" s="49"/>
      <c r="S63" s="49"/>
      <c r="T63" s="49"/>
    </row>
    <row r="64" spans="1:20" x14ac:dyDescent="0.35">
      <c r="A64" s="46" t="s">
        <v>102</v>
      </c>
      <c r="B64" s="47" t="s">
        <v>116</v>
      </c>
      <c r="C64" s="42" t="s">
        <v>104</v>
      </c>
      <c r="E64" s="49"/>
      <c r="F64" s="49"/>
      <c r="G64" s="49"/>
      <c r="H64" s="49">
        <f>190</f>
        <v>190</v>
      </c>
      <c r="I64" s="49">
        <f>190</f>
        <v>190</v>
      </c>
      <c r="J64" s="49">
        <f>190</f>
        <v>190</v>
      </c>
      <c r="K64" s="49">
        <f>190</f>
        <v>190</v>
      </c>
      <c r="L64" s="70">
        <f>190</f>
        <v>190</v>
      </c>
      <c r="M64" s="49">
        <f>190</f>
        <v>190</v>
      </c>
      <c r="N64" s="49">
        <f>190</f>
        <v>190</v>
      </c>
      <c r="O64" s="49">
        <f>190</f>
        <v>190</v>
      </c>
      <c r="P64" s="49">
        <f>190</f>
        <v>190</v>
      </c>
      <c r="Q64" s="49">
        <f>190</f>
        <v>190</v>
      </c>
      <c r="R64" s="49"/>
      <c r="S64" s="49"/>
      <c r="T64" s="49"/>
    </row>
    <row r="65" spans="1:20" x14ac:dyDescent="0.35">
      <c r="A65" s="46" t="s">
        <v>145</v>
      </c>
      <c r="B65" s="47" t="s">
        <v>116</v>
      </c>
      <c r="C65" s="42" t="s">
        <v>104</v>
      </c>
      <c r="E65" s="49"/>
      <c r="F65" s="49"/>
      <c r="G65" s="49"/>
      <c r="H65" s="49"/>
      <c r="I65" s="49">
        <f>380</f>
        <v>380</v>
      </c>
      <c r="J65" s="49">
        <f>380</f>
        <v>380</v>
      </c>
      <c r="K65" s="49">
        <f>380</f>
        <v>380</v>
      </c>
      <c r="L65" s="70">
        <f>380</f>
        <v>380</v>
      </c>
      <c r="M65" s="49">
        <f>380</f>
        <v>380</v>
      </c>
      <c r="N65" s="49">
        <f>380</f>
        <v>380</v>
      </c>
      <c r="O65" s="49">
        <f>380</f>
        <v>380</v>
      </c>
      <c r="P65" s="49">
        <f>380</f>
        <v>380</v>
      </c>
      <c r="Q65" s="49">
        <f>380</f>
        <v>380</v>
      </c>
      <c r="R65" s="49">
        <f>380</f>
        <v>380</v>
      </c>
      <c r="S65" s="49"/>
      <c r="T65" s="49"/>
    </row>
    <row r="66" spans="1:20" x14ac:dyDescent="0.35">
      <c r="A66" s="51" t="s">
        <v>146</v>
      </c>
      <c r="B66" s="47" t="s">
        <v>116</v>
      </c>
      <c r="C66" s="42" t="s">
        <v>104</v>
      </c>
      <c r="E66" s="49"/>
      <c r="F66" s="49"/>
      <c r="G66" s="49"/>
      <c r="H66" s="49">
        <f>190</f>
        <v>190</v>
      </c>
      <c r="I66" s="49">
        <f>190</f>
        <v>190</v>
      </c>
      <c r="J66" s="49">
        <f>190</f>
        <v>190</v>
      </c>
      <c r="K66" s="49">
        <f>190</f>
        <v>190</v>
      </c>
      <c r="L66" s="77">
        <f>190</f>
        <v>190</v>
      </c>
      <c r="M66" s="49"/>
      <c r="N66" s="49"/>
      <c r="O66" s="49"/>
      <c r="P66" s="49"/>
      <c r="Q66" s="49"/>
      <c r="R66" s="49"/>
      <c r="S66" s="49"/>
      <c r="T66" s="49"/>
    </row>
    <row r="67" spans="1:20" x14ac:dyDescent="0.35">
      <c r="A67" s="46" t="s">
        <v>147</v>
      </c>
      <c r="B67" s="47" t="s">
        <v>116</v>
      </c>
      <c r="C67" s="42" t="s">
        <v>104</v>
      </c>
      <c r="E67" s="49"/>
      <c r="F67" s="49"/>
      <c r="G67" s="49"/>
      <c r="H67" s="49">
        <f>190</f>
        <v>190</v>
      </c>
      <c r="I67" s="49">
        <f>190</f>
        <v>190</v>
      </c>
      <c r="J67" s="49">
        <f>190</f>
        <v>190</v>
      </c>
      <c r="K67" s="49">
        <f>190</f>
        <v>190</v>
      </c>
      <c r="L67" s="70">
        <f>190</f>
        <v>190</v>
      </c>
      <c r="M67" s="49"/>
      <c r="N67" s="49"/>
      <c r="O67" s="49"/>
      <c r="P67" s="49"/>
      <c r="Q67" s="49"/>
      <c r="R67" s="49"/>
      <c r="S67" s="49"/>
      <c r="T67" s="49"/>
    </row>
    <row r="68" spans="1:20" x14ac:dyDescent="0.35">
      <c r="A68" s="46" t="s">
        <v>147</v>
      </c>
      <c r="B68" s="47" t="s">
        <v>116</v>
      </c>
      <c r="C68" s="42" t="s">
        <v>104</v>
      </c>
      <c r="E68" s="49"/>
      <c r="F68" s="49"/>
      <c r="G68" s="49"/>
      <c r="H68" s="49">
        <f>190</f>
        <v>190</v>
      </c>
      <c r="I68" s="49">
        <f>190</f>
        <v>190</v>
      </c>
      <c r="J68" s="49">
        <f>190</f>
        <v>190</v>
      </c>
      <c r="K68" s="49">
        <f>190</f>
        <v>190</v>
      </c>
      <c r="L68" s="70">
        <f>190</f>
        <v>190</v>
      </c>
      <c r="M68" s="49"/>
      <c r="N68" s="49"/>
      <c r="O68" s="49"/>
      <c r="P68" s="49"/>
      <c r="Q68" s="49"/>
      <c r="R68" s="49"/>
      <c r="S68" s="49"/>
      <c r="T68" s="49"/>
    </row>
    <row r="69" spans="1:20" x14ac:dyDescent="0.35">
      <c r="A69" s="46" t="s">
        <v>140</v>
      </c>
      <c r="B69" s="47" t="s">
        <v>116</v>
      </c>
      <c r="C69" s="42" t="s">
        <v>104</v>
      </c>
      <c r="E69" s="49"/>
      <c r="F69" s="49"/>
      <c r="G69" s="49"/>
      <c r="H69" s="49">
        <f>380</f>
        <v>380</v>
      </c>
      <c r="I69" s="49">
        <f>380</f>
        <v>380</v>
      </c>
      <c r="J69" s="49">
        <f>380</f>
        <v>380</v>
      </c>
      <c r="K69" s="49">
        <f>380</f>
        <v>380</v>
      </c>
      <c r="L69" s="70">
        <f>380</f>
        <v>380</v>
      </c>
      <c r="M69" s="49"/>
      <c r="N69" s="49"/>
      <c r="O69" s="49"/>
      <c r="P69" s="49"/>
      <c r="Q69" s="49"/>
      <c r="R69" s="49"/>
      <c r="S69" s="49"/>
      <c r="T69" s="49"/>
    </row>
    <row r="70" spans="1:20" x14ac:dyDescent="0.35">
      <c r="A70" s="46" t="s">
        <v>140</v>
      </c>
      <c r="B70" s="47" t="s">
        <v>103</v>
      </c>
      <c r="C70" s="42" t="s">
        <v>104</v>
      </c>
      <c r="E70" s="49"/>
      <c r="F70" s="49"/>
      <c r="G70" s="49"/>
      <c r="H70" s="49"/>
      <c r="I70" s="49">
        <v>380</v>
      </c>
      <c r="J70" s="49">
        <f>380</f>
        <v>380</v>
      </c>
      <c r="K70" s="49">
        <f>380</f>
        <v>380</v>
      </c>
      <c r="L70" s="70">
        <f>380</f>
        <v>380</v>
      </c>
      <c r="M70" s="49">
        <f>380</f>
        <v>380</v>
      </c>
      <c r="N70" s="49"/>
      <c r="O70" s="49"/>
      <c r="P70" s="49"/>
      <c r="Q70" s="49"/>
      <c r="R70" s="49"/>
      <c r="S70" s="49"/>
      <c r="T70" s="49"/>
    </row>
    <row r="71" spans="1:20" x14ac:dyDescent="0.35">
      <c r="A71" s="46" t="s">
        <v>148</v>
      </c>
      <c r="B71" s="47" t="s">
        <v>103</v>
      </c>
      <c r="C71" s="42" t="s">
        <v>104</v>
      </c>
      <c r="E71" s="49"/>
      <c r="F71" s="49"/>
      <c r="G71" s="49"/>
      <c r="H71" s="49"/>
      <c r="I71" s="49">
        <v>380</v>
      </c>
      <c r="J71" s="49">
        <f>380</f>
        <v>380</v>
      </c>
      <c r="K71" s="49">
        <f>380</f>
        <v>380</v>
      </c>
      <c r="L71" s="70">
        <f>380</f>
        <v>380</v>
      </c>
      <c r="M71" s="49">
        <f>380</f>
        <v>380</v>
      </c>
      <c r="N71" s="49">
        <f>380</f>
        <v>380</v>
      </c>
      <c r="O71" s="49">
        <f>380</f>
        <v>380</v>
      </c>
      <c r="P71" s="49">
        <f>380</f>
        <v>380</v>
      </c>
      <c r="Q71" s="49">
        <f>380</f>
        <v>380</v>
      </c>
      <c r="R71" s="49">
        <f>380</f>
        <v>380</v>
      </c>
      <c r="S71" s="49"/>
      <c r="T71" s="49"/>
    </row>
    <row r="72" spans="1:20" x14ac:dyDescent="0.35">
      <c r="A72" s="46" t="s">
        <v>149</v>
      </c>
      <c r="B72" s="47" t="s">
        <v>103</v>
      </c>
      <c r="C72" s="42" t="s">
        <v>104</v>
      </c>
      <c r="E72" s="49"/>
      <c r="F72" s="49"/>
      <c r="G72" s="49"/>
      <c r="H72" s="49"/>
      <c r="I72" s="49">
        <v>190</v>
      </c>
      <c r="J72" s="49">
        <v>190</v>
      </c>
      <c r="K72" s="49">
        <v>190</v>
      </c>
      <c r="L72" s="70">
        <v>190</v>
      </c>
      <c r="M72" s="49">
        <v>190</v>
      </c>
      <c r="N72" s="49"/>
      <c r="O72" s="49"/>
      <c r="P72" s="49"/>
      <c r="Q72" s="49"/>
      <c r="R72" s="49"/>
      <c r="S72" s="49"/>
      <c r="T72" s="49"/>
    </row>
    <row r="73" spans="1:20" x14ac:dyDescent="0.35">
      <c r="A73" s="46" t="s">
        <v>150</v>
      </c>
      <c r="B73" s="47" t="s">
        <v>103</v>
      </c>
      <c r="C73" s="42" t="s">
        <v>104</v>
      </c>
      <c r="E73" s="49"/>
      <c r="F73" s="49"/>
      <c r="G73" s="49"/>
      <c r="H73" s="49"/>
      <c r="I73" s="49">
        <v>190</v>
      </c>
      <c r="J73" s="49">
        <f>380</f>
        <v>380</v>
      </c>
      <c r="K73" s="49">
        <f>380</f>
        <v>380</v>
      </c>
      <c r="L73" s="70">
        <f>380</f>
        <v>380</v>
      </c>
      <c r="M73" s="49"/>
      <c r="O73" s="49"/>
      <c r="P73" s="49"/>
      <c r="Q73" s="49"/>
      <c r="R73" s="49"/>
      <c r="S73" s="49"/>
      <c r="T73" s="49"/>
    </row>
    <row r="74" spans="1:20" x14ac:dyDescent="0.35">
      <c r="A74" s="46" t="s">
        <v>151</v>
      </c>
      <c r="B74" s="47" t="s">
        <v>152</v>
      </c>
      <c r="C74" s="42" t="s">
        <v>104</v>
      </c>
      <c r="E74" s="49"/>
      <c r="F74" s="49"/>
      <c r="G74" s="49"/>
      <c r="H74" s="49"/>
      <c r="I74" s="49">
        <v>190</v>
      </c>
      <c r="J74" s="49">
        <f>380</f>
        <v>380</v>
      </c>
      <c r="K74" s="49">
        <f>380</f>
        <v>380</v>
      </c>
      <c r="L74" s="70">
        <f>380</f>
        <v>380</v>
      </c>
      <c r="M74" s="49">
        <f>380</f>
        <v>380</v>
      </c>
      <c r="N74" s="49">
        <f>190</f>
        <v>190</v>
      </c>
      <c r="O74" s="49"/>
      <c r="P74" s="49"/>
      <c r="Q74" s="49"/>
      <c r="R74" s="49"/>
      <c r="S74" s="49"/>
      <c r="T74" s="49"/>
    </row>
    <row r="75" spans="1:20" x14ac:dyDescent="0.35">
      <c r="A75" s="46" t="s">
        <v>76</v>
      </c>
      <c r="B75" s="47" t="s">
        <v>152</v>
      </c>
      <c r="C75" s="42" t="s">
        <v>104</v>
      </c>
      <c r="E75" s="49"/>
      <c r="F75" s="49"/>
      <c r="G75" s="49"/>
      <c r="H75" s="49"/>
      <c r="I75" s="49">
        <f>380</f>
        <v>380</v>
      </c>
      <c r="J75" s="49">
        <f>380</f>
        <v>380</v>
      </c>
      <c r="K75" s="49">
        <f>380</f>
        <v>380</v>
      </c>
      <c r="L75" s="70">
        <f>380</f>
        <v>380</v>
      </c>
      <c r="M75" s="49">
        <f>380</f>
        <v>380</v>
      </c>
      <c r="N75" s="49"/>
      <c r="O75" s="49"/>
      <c r="P75" s="49"/>
      <c r="Q75" s="49"/>
      <c r="R75" s="49"/>
      <c r="S75" s="49"/>
      <c r="T75" s="49"/>
    </row>
    <row r="76" spans="1:20" x14ac:dyDescent="0.35">
      <c r="A76" s="46" t="s">
        <v>153</v>
      </c>
      <c r="B76" s="47" t="s">
        <v>152</v>
      </c>
      <c r="C76" s="42" t="s">
        <v>104</v>
      </c>
      <c r="E76" s="49"/>
      <c r="F76" s="49"/>
      <c r="G76" s="49"/>
      <c r="H76" s="49"/>
      <c r="I76" s="49">
        <f>380</f>
        <v>380</v>
      </c>
      <c r="J76" s="49">
        <f>380</f>
        <v>380</v>
      </c>
      <c r="K76" s="49">
        <f>380</f>
        <v>380</v>
      </c>
      <c r="L76" s="70">
        <f>380</f>
        <v>380</v>
      </c>
      <c r="M76" s="49">
        <f>380</f>
        <v>380</v>
      </c>
      <c r="N76" s="49"/>
      <c r="O76" s="49"/>
      <c r="P76" s="49"/>
      <c r="Q76" s="49"/>
      <c r="R76" s="49"/>
      <c r="S76" s="49"/>
      <c r="T76" s="49"/>
    </row>
    <row r="77" spans="1:20" x14ac:dyDescent="0.35">
      <c r="A77" s="46" t="s">
        <v>154</v>
      </c>
      <c r="B77" s="47" t="s">
        <v>152</v>
      </c>
      <c r="C77" s="42" t="s">
        <v>104</v>
      </c>
      <c r="E77" s="49"/>
      <c r="F77" s="49"/>
      <c r="G77" s="49"/>
      <c r="H77" s="49"/>
      <c r="I77" s="49">
        <f>190</f>
        <v>190</v>
      </c>
      <c r="J77" s="49">
        <f>190</f>
        <v>190</v>
      </c>
      <c r="K77" s="49">
        <f>190</f>
        <v>190</v>
      </c>
      <c r="L77" s="69">
        <f>190</f>
        <v>190</v>
      </c>
      <c r="M77" s="69">
        <f>190</f>
        <v>190</v>
      </c>
      <c r="N77" s="49"/>
      <c r="O77" s="49"/>
      <c r="P77" s="49"/>
      <c r="Q77" s="49"/>
      <c r="R77" s="49"/>
      <c r="S77" s="49"/>
      <c r="T77" s="113">
        <f>SUM(M77:O77)</f>
        <v>190</v>
      </c>
    </row>
    <row r="78" spans="1:20" x14ac:dyDescent="0.35">
      <c r="A78" s="46" t="s">
        <v>198</v>
      </c>
      <c r="B78" s="47" t="s">
        <v>152</v>
      </c>
      <c r="C78" s="42" t="s">
        <v>104</v>
      </c>
      <c r="E78" s="49"/>
      <c r="F78" s="49"/>
      <c r="G78" s="49"/>
      <c r="H78" s="49"/>
      <c r="I78" s="49"/>
      <c r="J78" s="49">
        <f>380</f>
        <v>380</v>
      </c>
      <c r="K78" s="49">
        <f>380</f>
        <v>380</v>
      </c>
      <c r="L78" s="77">
        <f>380</f>
        <v>380</v>
      </c>
      <c r="M78" s="49">
        <f>380</f>
        <v>380</v>
      </c>
      <c r="N78" s="49">
        <f>380</f>
        <v>380</v>
      </c>
      <c r="O78" s="49"/>
      <c r="P78" s="49"/>
      <c r="Q78" s="49"/>
      <c r="R78" s="49"/>
      <c r="S78" s="49"/>
      <c r="T78" s="49"/>
    </row>
    <row r="79" spans="1:20" x14ac:dyDescent="0.35">
      <c r="A79" s="46" t="s">
        <v>524</v>
      </c>
      <c r="B79" s="47" t="s">
        <v>152</v>
      </c>
      <c r="C79" s="42" t="s">
        <v>104</v>
      </c>
      <c r="E79" s="49"/>
      <c r="F79" s="49"/>
      <c r="G79" s="49"/>
      <c r="H79" s="49"/>
      <c r="I79" s="49"/>
      <c r="J79" s="49">
        <f>380</f>
        <v>380</v>
      </c>
      <c r="K79" s="49">
        <f>380</f>
        <v>380</v>
      </c>
      <c r="L79" s="70">
        <f>380</f>
        <v>380</v>
      </c>
      <c r="M79" s="49">
        <f>380</f>
        <v>380</v>
      </c>
      <c r="N79" s="49">
        <f>380</f>
        <v>380</v>
      </c>
      <c r="O79" s="49"/>
      <c r="P79" s="49"/>
      <c r="Q79" s="49"/>
      <c r="R79" s="49"/>
      <c r="S79" s="49"/>
      <c r="T79" s="50"/>
    </row>
    <row r="80" spans="1:20" x14ac:dyDescent="0.35">
      <c r="A80" s="46" t="s">
        <v>199</v>
      </c>
      <c r="B80" s="47" t="s">
        <v>152</v>
      </c>
      <c r="C80" s="42" t="s">
        <v>104</v>
      </c>
      <c r="E80" s="49"/>
      <c r="F80" s="49"/>
      <c r="G80" s="49"/>
      <c r="H80" s="49"/>
      <c r="I80" s="49"/>
      <c r="J80" s="49">
        <f>380</f>
        <v>380</v>
      </c>
      <c r="K80" s="49">
        <f>380</f>
        <v>380</v>
      </c>
      <c r="L80" s="70">
        <f>380</f>
        <v>380</v>
      </c>
      <c r="M80" s="49">
        <f>380</f>
        <v>380</v>
      </c>
      <c r="N80" s="49">
        <f>380</f>
        <v>380</v>
      </c>
      <c r="O80" s="49"/>
      <c r="P80" s="49"/>
      <c r="Q80" s="49"/>
      <c r="R80" s="49"/>
      <c r="S80" s="49"/>
      <c r="T80" s="50"/>
    </row>
    <row r="81" spans="1:20" x14ac:dyDescent="0.35">
      <c r="A81" s="46" t="s">
        <v>200</v>
      </c>
      <c r="B81" s="47" t="s">
        <v>152</v>
      </c>
      <c r="C81" s="42" t="s">
        <v>104</v>
      </c>
      <c r="E81" s="49"/>
      <c r="F81" s="49"/>
      <c r="G81" s="49"/>
      <c r="H81" s="49"/>
      <c r="J81" s="49">
        <f>380</f>
        <v>380</v>
      </c>
      <c r="K81" s="49">
        <f>380</f>
        <v>380</v>
      </c>
      <c r="L81" s="70">
        <f>380</f>
        <v>380</v>
      </c>
      <c r="M81" s="49">
        <f>380</f>
        <v>380</v>
      </c>
      <c r="N81" s="49">
        <f>380</f>
        <v>380</v>
      </c>
      <c r="O81" s="49"/>
      <c r="P81" s="49"/>
      <c r="Q81" s="49"/>
      <c r="R81" s="49"/>
      <c r="S81" s="49"/>
      <c r="T81" s="50"/>
    </row>
    <row r="82" spans="1:20" x14ac:dyDescent="0.35">
      <c r="A82" t="s">
        <v>106</v>
      </c>
      <c r="B82" s="47"/>
      <c r="E82" s="49"/>
      <c r="F82" s="49"/>
      <c r="G82" s="49"/>
      <c r="H82" s="49"/>
      <c r="J82" s="49"/>
      <c r="K82" s="49">
        <f>380</f>
        <v>380</v>
      </c>
      <c r="L82" s="70">
        <f>380</f>
        <v>380</v>
      </c>
      <c r="M82" s="49">
        <f>380</f>
        <v>380</v>
      </c>
      <c r="N82" s="49">
        <f>380</f>
        <v>380</v>
      </c>
      <c r="O82" s="49">
        <f>380</f>
        <v>380</v>
      </c>
      <c r="P82" s="49">
        <f>380</f>
        <v>380</v>
      </c>
      <c r="Q82" s="49">
        <f>380</f>
        <v>380</v>
      </c>
      <c r="R82" s="49">
        <f>380</f>
        <v>380</v>
      </c>
      <c r="S82" s="49">
        <f>380</f>
        <v>380</v>
      </c>
      <c r="T82" s="50"/>
    </row>
    <row r="83" spans="1:20" x14ac:dyDescent="0.35">
      <c r="A83" t="s">
        <v>106</v>
      </c>
      <c r="B83" s="47"/>
      <c r="E83" s="49"/>
      <c r="F83" s="49"/>
      <c r="G83" s="49"/>
      <c r="H83" s="49"/>
      <c r="J83" s="49"/>
      <c r="K83" s="49">
        <f>380</f>
        <v>380</v>
      </c>
      <c r="L83" s="70">
        <f>380</f>
        <v>380</v>
      </c>
      <c r="M83" s="49">
        <f>380</f>
        <v>380</v>
      </c>
      <c r="N83" s="49">
        <f>380</f>
        <v>380</v>
      </c>
      <c r="O83" s="49">
        <f>380</f>
        <v>380</v>
      </c>
      <c r="P83" s="49">
        <f>380</f>
        <v>380</v>
      </c>
      <c r="Q83" s="49">
        <f>380</f>
        <v>380</v>
      </c>
      <c r="R83" s="49">
        <f>380</f>
        <v>380</v>
      </c>
      <c r="S83" s="49">
        <f>380</f>
        <v>380</v>
      </c>
      <c r="T83" s="50"/>
    </row>
    <row r="84" spans="1:20" x14ac:dyDescent="0.35">
      <c r="A84" s="46" t="s">
        <v>219</v>
      </c>
      <c r="B84" s="47"/>
      <c r="E84" s="49"/>
      <c r="F84" s="49"/>
      <c r="G84" s="49"/>
      <c r="H84" s="49"/>
      <c r="J84" s="49"/>
      <c r="K84" s="49">
        <f>380</f>
        <v>380</v>
      </c>
      <c r="L84" s="70">
        <f>380</f>
        <v>380</v>
      </c>
      <c r="M84" s="49">
        <f>380</f>
        <v>380</v>
      </c>
      <c r="N84" s="49">
        <f>380</f>
        <v>380</v>
      </c>
      <c r="O84" s="49">
        <f>380</f>
        <v>380</v>
      </c>
      <c r="P84" s="49"/>
      <c r="Q84" s="49"/>
      <c r="R84" s="49"/>
      <c r="S84" s="49"/>
      <c r="T84" s="50"/>
    </row>
    <row r="85" spans="1:20" x14ac:dyDescent="0.35">
      <c r="A85" s="46" t="s">
        <v>42</v>
      </c>
      <c r="B85" s="47"/>
      <c r="E85" s="49"/>
      <c r="F85" s="49"/>
      <c r="G85" s="49"/>
      <c r="H85" s="49"/>
      <c r="J85" s="49"/>
      <c r="K85" s="49">
        <f>190</f>
        <v>190</v>
      </c>
      <c r="L85" s="70">
        <f>190</f>
        <v>190</v>
      </c>
      <c r="M85" s="49">
        <f>190</f>
        <v>190</v>
      </c>
      <c r="N85" s="49">
        <f>190</f>
        <v>190</v>
      </c>
      <c r="O85" s="49">
        <f>190</f>
        <v>190</v>
      </c>
      <c r="P85" s="49"/>
      <c r="Q85" s="49"/>
      <c r="R85" s="49"/>
      <c r="S85" s="49"/>
      <c r="T85" s="50"/>
    </row>
    <row r="86" spans="1:20" x14ac:dyDescent="0.35">
      <c r="A86" s="46" t="s">
        <v>220</v>
      </c>
      <c r="B86" s="47"/>
      <c r="E86" s="49"/>
      <c r="F86" s="49"/>
      <c r="G86" s="49"/>
      <c r="H86" s="49"/>
      <c r="I86" s="49"/>
      <c r="J86" s="49"/>
      <c r="K86" s="49">
        <f>190</f>
        <v>190</v>
      </c>
      <c r="L86" s="70">
        <f>190</f>
        <v>190</v>
      </c>
      <c r="M86" s="49">
        <f>190</f>
        <v>190</v>
      </c>
      <c r="N86" s="49">
        <f>190</f>
        <v>190</v>
      </c>
      <c r="O86" s="49">
        <f>190</f>
        <v>190</v>
      </c>
      <c r="P86" s="49"/>
      <c r="Q86" s="49"/>
      <c r="R86" s="49"/>
      <c r="S86" s="49"/>
      <c r="T86" s="50"/>
    </row>
    <row r="87" spans="1:20" x14ac:dyDescent="0.35">
      <c r="A87" s="46" t="s">
        <v>525</v>
      </c>
      <c r="B87" s="47"/>
      <c r="E87" s="49"/>
      <c r="F87" s="49"/>
      <c r="G87" s="49"/>
      <c r="H87" s="49"/>
      <c r="I87" s="49"/>
      <c r="J87" s="49"/>
      <c r="K87" s="49"/>
      <c r="L87" s="70">
        <f>380</f>
        <v>380</v>
      </c>
      <c r="M87" s="49">
        <f>380</f>
        <v>380</v>
      </c>
      <c r="N87" s="49">
        <f>380</f>
        <v>380</v>
      </c>
      <c r="O87" s="49">
        <f>380</f>
        <v>380</v>
      </c>
      <c r="P87" s="49">
        <f>380</f>
        <v>380</v>
      </c>
      <c r="Q87" s="49"/>
      <c r="R87" s="49"/>
      <c r="S87" s="49"/>
      <c r="T87" s="50"/>
    </row>
    <row r="88" spans="1:20" x14ac:dyDescent="0.35">
      <c r="A88" s="46" t="s">
        <v>526</v>
      </c>
      <c r="B88" s="47"/>
      <c r="E88" s="49"/>
      <c r="F88" s="49"/>
      <c r="G88" s="49"/>
      <c r="H88" s="49"/>
      <c r="I88" s="49"/>
      <c r="J88" s="49"/>
      <c r="K88" s="49"/>
      <c r="L88" s="70">
        <f>190</f>
        <v>190</v>
      </c>
      <c r="M88" s="49">
        <f>190</f>
        <v>190</v>
      </c>
      <c r="N88" s="49">
        <f>190</f>
        <v>190</v>
      </c>
      <c r="O88" s="49">
        <f>190</f>
        <v>190</v>
      </c>
      <c r="P88" s="49">
        <f>190</f>
        <v>190</v>
      </c>
      <c r="Q88" s="49"/>
      <c r="R88" s="49"/>
      <c r="S88" s="49"/>
      <c r="T88" s="50"/>
    </row>
    <row r="89" spans="1:20" x14ac:dyDescent="0.35">
      <c r="A89" s="46" t="s">
        <v>527</v>
      </c>
      <c r="B89" s="47"/>
      <c r="E89" s="49"/>
      <c r="F89" s="49"/>
      <c r="G89" s="49"/>
      <c r="H89" s="49"/>
      <c r="I89" s="49"/>
      <c r="J89" s="49"/>
      <c r="K89" s="49"/>
      <c r="L89" s="70">
        <f>380</f>
        <v>380</v>
      </c>
      <c r="M89" s="49">
        <f>380</f>
        <v>380</v>
      </c>
      <c r="N89" s="49">
        <f>380</f>
        <v>380</v>
      </c>
      <c r="O89" s="49">
        <f>380</f>
        <v>380</v>
      </c>
      <c r="P89" s="49">
        <f>380</f>
        <v>380</v>
      </c>
      <c r="Q89" s="49"/>
      <c r="R89" s="49"/>
      <c r="S89" s="49"/>
      <c r="T89" s="50"/>
    </row>
    <row r="90" spans="1:20" x14ac:dyDescent="0.35">
      <c r="A90" s="46" t="s">
        <v>528</v>
      </c>
      <c r="B90" s="47"/>
      <c r="E90" s="49"/>
      <c r="F90" s="49"/>
      <c r="G90" s="49"/>
      <c r="H90" s="49"/>
      <c r="I90" s="49"/>
      <c r="J90" s="49"/>
      <c r="K90" s="49"/>
      <c r="L90" s="70">
        <f>380</f>
        <v>380</v>
      </c>
      <c r="M90" s="49">
        <f>380</f>
        <v>380</v>
      </c>
      <c r="N90" s="49">
        <f>380</f>
        <v>380</v>
      </c>
      <c r="O90" s="49">
        <f>380</f>
        <v>380</v>
      </c>
      <c r="P90" s="49">
        <f>380</f>
        <v>380</v>
      </c>
      <c r="Q90" s="49"/>
      <c r="R90" s="49"/>
      <c r="S90" s="49"/>
      <c r="T90" s="50"/>
    </row>
    <row r="91" spans="1:20" x14ac:dyDescent="0.35">
      <c r="A91" s="46" t="s">
        <v>529</v>
      </c>
      <c r="B91" s="47"/>
      <c r="E91" s="49"/>
      <c r="F91" s="49"/>
      <c r="G91" s="49"/>
      <c r="H91" s="49"/>
      <c r="I91" s="49"/>
      <c r="J91" s="49"/>
      <c r="K91" s="49"/>
      <c r="L91" s="70">
        <f>400</f>
        <v>400</v>
      </c>
      <c r="M91" s="49">
        <f>400</f>
        <v>400</v>
      </c>
      <c r="N91" s="49">
        <f>400</f>
        <v>400</v>
      </c>
      <c r="O91" s="49">
        <f>400</f>
        <v>400</v>
      </c>
      <c r="P91" s="49">
        <f>400</f>
        <v>400</v>
      </c>
      <c r="Q91" s="49"/>
      <c r="R91" s="49"/>
      <c r="S91" s="49"/>
      <c r="T91" s="50"/>
    </row>
    <row r="92" spans="1:20" x14ac:dyDescent="0.35">
      <c r="A92" s="46" t="s">
        <v>530</v>
      </c>
      <c r="B92" s="47"/>
      <c r="E92" s="49"/>
      <c r="F92" s="49"/>
      <c r="G92" s="49"/>
      <c r="H92" s="49"/>
      <c r="I92" s="49"/>
      <c r="J92" s="49"/>
      <c r="K92" s="49"/>
      <c r="L92" s="70">
        <f>425</f>
        <v>425</v>
      </c>
      <c r="M92" s="49">
        <f>425</f>
        <v>425</v>
      </c>
      <c r="N92" s="49">
        <f>425</f>
        <v>425</v>
      </c>
      <c r="O92" s="49">
        <f>425</f>
        <v>425</v>
      </c>
      <c r="P92" s="49">
        <f>425</f>
        <v>425</v>
      </c>
      <c r="Q92" s="49"/>
      <c r="R92" s="49"/>
      <c r="S92" s="49"/>
      <c r="T92" s="50"/>
    </row>
    <row r="93" spans="1:20" x14ac:dyDescent="0.35">
      <c r="A93" s="46" t="s">
        <v>531</v>
      </c>
      <c r="B93" s="47"/>
      <c r="E93" s="49"/>
      <c r="F93" s="49"/>
      <c r="G93" s="49"/>
      <c r="H93" s="49"/>
      <c r="I93" s="49"/>
      <c r="J93" s="49"/>
      <c r="K93" s="49"/>
      <c r="L93" s="70">
        <f>380</f>
        <v>380</v>
      </c>
      <c r="M93" s="49">
        <f>380</f>
        <v>380</v>
      </c>
      <c r="N93" s="49">
        <f>380</f>
        <v>380</v>
      </c>
      <c r="O93" s="49">
        <f>380</f>
        <v>380</v>
      </c>
      <c r="P93" s="49">
        <f>380</f>
        <v>380</v>
      </c>
      <c r="Q93" s="49"/>
      <c r="R93" s="49"/>
      <c r="S93" s="49"/>
      <c r="T93" s="50"/>
    </row>
    <row r="94" spans="1:20" x14ac:dyDescent="0.35">
      <c r="A94" s="46" t="s">
        <v>532</v>
      </c>
      <c r="B94" s="47"/>
      <c r="E94" s="49"/>
      <c r="F94" s="49"/>
      <c r="G94" s="49"/>
      <c r="H94" s="49"/>
      <c r="I94" s="49"/>
      <c r="J94" s="49"/>
      <c r="K94" s="49"/>
      <c r="L94" s="70">
        <f>1000</f>
        <v>1000</v>
      </c>
      <c r="M94" s="49">
        <f>1000</f>
        <v>1000</v>
      </c>
      <c r="N94" s="49">
        <f>1000</f>
        <v>1000</v>
      </c>
      <c r="O94" s="49">
        <f>1000</f>
        <v>1000</v>
      </c>
      <c r="P94" s="49">
        <f>1000</f>
        <v>1000</v>
      </c>
      <c r="Q94" s="49"/>
      <c r="R94" s="49"/>
      <c r="S94" s="49"/>
      <c r="T94" s="50"/>
    </row>
    <row r="95" spans="1:20" x14ac:dyDescent="0.35">
      <c r="A95" s="46" t="s">
        <v>533</v>
      </c>
      <c r="B95" s="47"/>
      <c r="E95" s="49"/>
      <c r="F95" s="49"/>
      <c r="G95" s="49"/>
      <c r="H95" s="55"/>
      <c r="I95" s="55"/>
      <c r="J95" s="55"/>
      <c r="K95" s="55"/>
      <c r="L95" s="114">
        <f>200</f>
        <v>200</v>
      </c>
      <c r="M95" s="55">
        <f>200</f>
        <v>200</v>
      </c>
      <c r="N95" s="55">
        <f>200</f>
        <v>200</v>
      </c>
      <c r="O95" s="55">
        <f>200</f>
        <v>200</v>
      </c>
      <c r="P95" s="55">
        <f>200</f>
        <v>200</v>
      </c>
      <c r="Q95" s="55"/>
      <c r="R95" s="55"/>
      <c r="S95" s="55"/>
      <c r="T95" s="50"/>
    </row>
    <row r="96" spans="1:20" x14ac:dyDescent="0.35">
      <c r="E96" s="49"/>
      <c r="F96" s="49"/>
      <c r="G96" s="49"/>
      <c r="H96" s="56">
        <f t="shared" ref="H96:Q96" si="0">SUM(H4:H95)</f>
        <v>15290</v>
      </c>
      <c r="I96" s="56">
        <f t="shared" si="0"/>
        <v>18130</v>
      </c>
      <c r="J96" s="56">
        <f t="shared" si="0"/>
        <v>20460</v>
      </c>
      <c r="K96" s="56">
        <f t="shared" si="0"/>
        <v>21980</v>
      </c>
      <c r="L96" s="56">
        <f t="shared" si="0"/>
        <v>24815</v>
      </c>
      <c r="M96" s="56">
        <f t="shared" si="0"/>
        <v>16715</v>
      </c>
      <c r="N96" s="56">
        <f t="shared" si="0"/>
        <v>15005</v>
      </c>
      <c r="O96" s="56">
        <f t="shared" si="0"/>
        <v>13295</v>
      </c>
      <c r="P96" s="56">
        <f t="shared" si="0"/>
        <v>12535</v>
      </c>
      <c r="Q96" s="56">
        <f t="shared" si="0"/>
        <v>8800</v>
      </c>
      <c r="R96" s="56">
        <f t="shared" ref="R96" si="1">SUM(R4:R95)</f>
        <v>1520</v>
      </c>
      <c r="S96" s="56">
        <f t="shared" ref="S96" si="2">SUM(S4:S95)</f>
        <v>760</v>
      </c>
      <c r="T96" s="50">
        <f>SUM(T4:T95)</f>
        <v>190</v>
      </c>
    </row>
    <row r="97" spans="1:22" x14ac:dyDescent="0.35">
      <c r="E97" s="49"/>
      <c r="F97" s="49"/>
      <c r="G97" s="49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0"/>
    </row>
    <row r="98" spans="1:22" x14ac:dyDescent="0.35">
      <c r="D98" s="43" t="s">
        <v>534</v>
      </c>
      <c r="E98" s="49"/>
      <c r="F98" s="49"/>
      <c r="G98" s="49"/>
      <c r="H98" s="56"/>
      <c r="L98" s="49">
        <f>L96-380-1000-190-200-190-380-570-570-190</f>
        <v>21145</v>
      </c>
      <c r="M98" s="56"/>
      <c r="N98" s="56"/>
      <c r="O98" s="56"/>
      <c r="P98" s="56"/>
      <c r="Q98" s="56"/>
      <c r="R98" s="56"/>
      <c r="S98" s="56"/>
      <c r="T98" s="50"/>
    </row>
    <row r="99" spans="1:22" x14ac:dyDescent="0.35">
      <c r="D99" s="57" t="s">
        <v>535</v>
      </c>
      <c r="E99" s="49"/>
      <c r="F99" s="49"/>
      <c r="G99" s="49"/>
      <c r="H99" s="50"/>
      <c r="I99" s="49"/>
      <c r="L99" s="55">
        <f>0</f>
        <v>0</v>
      </c>
      <c r="M99" s="58" t="s">
        <v>155</v>
      </c>
      <c r="N99" s="56"/>
      <c r="O99" s="56"/>
      <c r="P99" s="56"/>
      <c r="Q99" s="56"/>
      <c r="R99" s="56"/>
      <c r="S99" s="56"/>
      <c r="T99" s="50"/>
    </row>
    <row r="100" spans="1:22" x14ac:dyDescent="0.35">
      <c r="D100" s="57"/>
      <c r="E100" s="49"/>
      <c r="F100" s="49"/>
      <c r="G100" s="49"/>
      <c r="H100" s="50"/>
      <c r="I100" s="56"/>
      <c r="L100" s="56">
        <f>SUM(L98:L99)</f>
        <v>21145</v>
      </c>
      <c r="M100" s="56"/>
      <c r="N100" s="56"/>
      <c r="O100" s="56"/>
      <c r="P100" s="56"/>
      <c r="Q100" s="56"/>
      <c r="R100" s="56"/>
      <c r="S100" s="56"/>
      <c r="T100" s="50"/>
    </row>
    <row r="101" spans="1:22" x14ac:dyDescent="0.35">
      <c r="D101" s="43" t="s">
        <v>536</v>
      </c>
      <c r="E101" s="49"/>
      <c r="F101" s="49"/>
      <c r="G101" s="49"/>
      <c r="H101" s="56"/>
      <c r="L101" s="49">
        <f>L20+L34+L49+L66+L78+L95</f>
        <v>1910</v>
      </c>
      <c r="M101" s="58" t="s">
        <v>18</v>
      </c>
      <c r="N101" s="56"/>
      <c r="O101" s="56"/>
      <c r="P101" s="56"/>
      <c r="Q101" s="56"/>
      <c r="R101" s="56"/>
      <c r="S101" s="56"/>
      <c r="T101" s="50"/>
    </row>
    <row r="102" spans="1:22" x14ac:dyDescent="0.35">
      <c r="D102" s="43" t="s">
        <v>156</v>
      </c>
      <c r="E102" s="49"/>
      <c r="F102" s="49"/>
      <c r="G102" s="49"/>
      <c r="H102" s="56"/>
      <c r="L102" s="115">
        <f>190</f>
        <v>190</v>
      </c>
      <c r="M102" s="58"/>
      <c r="N102" s="56"/>
      <c r="O102" s="56"/>
      <c r="P102" s="56"/>
      <c r="Q102" s="56"/>
      <c r="R102" s="56"/>
      <c r="S102" s="56"/>
      <c r="T102" s="50"/>
    </row>
    <row r="103" spans="1:22" x14ac:dyDescent="0.35">
      <c r="D103" s="43" t="s">
        <v>547</v>
      </c>
      <c r="E103" s="49"/>
      <c r="F103" s="49"/>
      <c r="G103" s="49"/>
      <c r="H103" s="56"/>
      <c r="I103" s="49"/>
      <c r="L103" s="55">
        <f>K78+K73+K49+K34</f>
        <v>1520</v>
      </c>
      <c r="M103" s="56" t="s">
        <v>537</v>
      </c>
      <c r="N103" s="56"/>
      <c r="O103" s="56"/>
      <c r="P103" s="56"/>
      <c r="Q103" s="56"/>
      <c r="R103" s="56"/>
      <c r="S103" s="56"/>
      <c r="T103" s="50"/>
    </row>
    <row r="104" spans="1:22" x14ac:dyDescent="0.35">
      <c r="D104" s="45" t="s">
        <v>538</v>
      </c>
      <c r="E104" s="49"/>
      <c r="F104" s="49"/>
      <c r="G104" s="49"/>
      <c r="H104" s="56"/>
      <c r="L104" s="59">
        <f>L100-L101+L102+L103</f>
        <v>20945</v>
      </c>
      <c r="M104" s="56"/>
      <c r="N104" s="56"/>
      <c r="O104" s="56"/>
      <c r="P104" s="56"/>
      <c r="Q104" s="56"/>
      <c r="R104" s="56"/>
      <c r="S104" s="56"/>
      <c r="T104" s="50"/>
    </row>
    <row r="105" spans="1:22" x14ac:dyDescent="0.35">
      <c r="E105" s="49"/>
      <c r="F105" s="49"/>
      <c r="G105" s="49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0"/>
      <c r="V105" s="49"/>
    </row>
    <row r="106" spans="1:22" x14ac:dyDescent="0.35">
      <c r="D106" s="60"/>
      <c r="E106" s="61"/>
      <c r="F106" s="61"/>
      <c r="G106" s="61"/>
      <c r="H106" s="62">
        <f>2020</f>
        <v>2020</v>
      </c>
      <c r="I106" s="62">
        <f>2021</f>
        <v>2021</v>
      </c>
      <c r="J106" s="62">
        <f>2022</f>
        <v>2022</v>
      </c>
      <c r="K106" s="62">
        <f>2023</f>
        <v>2023</v>
      </c>
      <c r="L106" s="62">
        <f>2024</f>
        <v>2024</v>
      </c>
      <c r="M106" s="62">
        <f>2025</f>
        <v>2025</v>
      </c>
      <c r="N106" s="62">
        <f>2026</f>
        <v>2026</v>
      </c>
      <c r="O106" s="62">
        <f>2027</f>
        <v>2027</v>
      </c>
      <c r="P106" s="62">
        <f>2028</f>
        <v>2028</v>
      </c>
      <c r="Q106" s="62">
        <f>2029</f>
        <v>2029</v>
      </c>
      <c r="R106" s="62">
        <f>2030</f>
        <v>2030</v>
      </c>
      <c r="S106" s="62">
        <f>2031</f>
        <v>2031</v>
      </c>
      <c r="T106" s="50"/>
      <c r="V106" s="49"/>
    </row>
    <row r="107" spans="1:22" x14ac:dyDescent="0.35">
      <c r="D107" s="63" t="s">
        <v>157</v>
      </c>
      <c r="E107" s="64"/>
      <c r="F107" s="64"/>
      <c r="G107" s="64"/>
      <c r="H107" s="64"/>
      <c r="I107" s="64"/>
      <c r="J107" s="64"/>
      <c r="K107" s="64"/>
      <c r="L107" s="64"/>
      <c r="M107" s="64">
        <f>M96-M77</f>
        <v>16525</v>
      </c>
      <c r="N107" s="64">
        <f>N96</f>
        <v>15005</v>
      </c>
      <c r="O107" s="64">
        <f>O96</f>
        <v>13295</v>
      </c>
      <c r="P107" s="64">
        <f t="shared" ref="P107:S107" si="3">P96</f>
        <v>12535</v>
      </c>
      <c r="Q107" s="64">
        <f t="shared" si="3"/>
        <v>8800</v>
      </c>
      <c r="R107" s="64">
        <f t="shared" si="3"/>
        <v>1520</v>
      </c>
      <c r="S107" s="71">
        <f t="shared" si="3"/>
        <v>760</v>
      </c>
      <c r="T107" s="58">
        <f>SUM(M107:S107)</f>
        <v>68440</v>
      </c>
    </row>
    <row r="108" spans="1:22" x14ac:dyDescent="0.35">
      <c r="D108" s="63" t="s">
        <v>158</v>
      </c>
      <c r="E108" s="64"/>
      <c r="F108" s="64"/>
      <c r="G108" s="64"/>
      <c r="H108" s="64"/>
      <c r="I108" s="64"/>
      <c r="J108" s="64"/>
      <c r="K108" s="64"/>
      <c r="L108" s="64"/>
      <c r="M108" s="64">
        <f>M96-M107</f>
        <v>190</v>
      </c>
      <c r="N108" s="64">
        <f>N96-N107</f>
        <v>0</v>
      </c>
      <c r="O108" s="64">
        <f>O96-O107</f>
        <v>0</v>
      </c>
      <c r="P108" s="64">
        <f t="shared" ref="P108:S108" si="4">P96-P107</f>
        <v>0</v>
      </c>
      <c r="Q108" s="64">
        <f t="shared" si="4"/>
        <v>0</v>
      </c>
      <c r="R108" s="64">
        <f t="shared" si="4"/>
        <v>0</v>
      </c>
      <c r="S108" s="71">
        <f t="shared" si="4"/>
        <v>0</v>
      </c>
      <c r="T108" s="58">
        <f>SUM(M108:S108)</f>
        <v>190</v>
      </c>
    </row>
    <row r="109" spans="1:22" x14ac:dyDescent="0.35">
      <c r="D109" s="66"/>
      <c r="E109" s="65"/>
      <c r="F109" s="65"/>
      <c r="G109" s="65"/>
      <c r="H109" s="67"/>
      <c r="I109" s="67"/>
      <c r="J109" s="67"/>
      <c r="K109" s="67"/>
      <c r="L109" s="67"/>
      <c r="M109" s="67">
        <f t="shared" ref="M109:S109" si="5">SUM(M107:M108)</f>
        <v>16715</v>
      </c>
      <c r="N109" s="67">
        <f t="shared" si="5"/>
        <v>15005</v>
      </c>
      <c r="O109" s="67">
        <f t="shared" si="5"/>
        <v>13295</v>
      </c>
      <c r="P109" s="67">
        <f t="shared" si="5"/>
        <v>12535</v>
      </c>
      <c r="Q109" s="67">
        <f t="shared" si="5"/>
        <v>8800</v>
      </c>
      <c r="R109" s="67">
        <f t="shared" si="5"/>
        <v>1520</v>
      </c>
      <c r="S109" s="123">
        <f t="shared" si="5"/>
        <v>760</v>
      </c>
      <c r="T109" s="50"/>
    </row>
    <row r="110" spans="1:22" x14ac:dyDescent="0.35">
      <c r="E110" s="49"/>
      <c r="F110" s="49"/>
      <c r="G110" s="49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0"/>
    </row>
    <row r="112" spans="1:22" x14ac:dyDescent="0.35">
      <c r="A112" s="43"/>
      <c r="D112" s="43" t="s">
        <v>534</v>
      </c>
      <c r="I112" s="49"/>
      <c r="L112" s="49">
        <f>L98</f>
        <v>21145</v>
      </c>
    </row>
    <row r="113" spans="4:13" x14ac:dyDescent="0.35">
      <c r="D113" s="43" t="s">
        <v>539</v>
      </c>
      <c r="I113" s="49"/>
      <c r="L113" s="55">
        <f>L96-L98</f>
        <v>3670</v>
      </c>
      <c r="M113" s="6" t="s">
        <v>159</v>
      </c>
    </row>
    <row r="114" spans="4:13" x14ac:dyDescent="0.35">
      <c r="D114" s="45" t="s">
        <v>540</v>
      </c>
      <c r="I114" s="49"/>
      <c r="L114" s="56">
        <f>SUM(L112:L113)</f>
        <v>24815</v>
      </c>
    </row>
  </sheetData>
  <phoneticPr fontId="5" type="noConversion"/>
  <pageMargins left="0.7" right="0.7" top="0.75" bottom="0.75" header="0.3" footer="0.3"/>
  <pageSetup paperSize="9" orientation="portrait" r:id="rId1"/>
  <ignoredErrors>
    <ignoredError sqref="J77:M77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35ED9-3047-44B7-BD70-0B7188E75333}">
  <sheetPr>
    <pageSetUpPr fitToPage="1"/>
  </sheetPr>
  <dimension ref="A1:K21"/>
  <sheetViews>
    <sheetView workbookViewId="0"/>
  </sheetViews>
  <sheetFormatPr defaultRowHeight="14.5" x14ac:dyDescent="0.35"/>
  <cols>
    <col min="1" max="1" width="37.6328125" customWidth="1"/>
    <col min="2" max="2" width="12.6328125" customWidth="1"/>
    <col min="3" max="3" width="10.6328125" customWidth="1"/>
    <col min="4" max="4" width="27.6328125" customWidth="1"/>
    <col min="5" max="11" width="9.6328125" customWidth="1"/>
  </cols>
  <sheetData>
    <row r="1" spans="1:11" ht="15.5" x14ac:dyDescent="0.35">
      <c r="A1" s="35" t="s">
        <v>201</v>
      </c>
      <c r="B1" s="36"/>
      <c r="C1" s="37"/>
      <c r="D1" s="38"/>
      <c r="E1" s="39"/>
      <c r="F1" s="39"/>
      <c r="G1" s="39"/>
      <c r="H1" s="39">
        <f>H3</f>
        <v>2024</v>
      </c>
      <c r="I1" s="40"/>
      <c r="J1" s="40"/>
      <c r="K1" s="41"/>
    </row>
    <row r="2" spans="1:11" x14ac:dyDescent="0.35">
      <c r="B2" s="42"/>
      <c r="C2" s="42"/>
      <c r="D2" s="43"/>
    </row>
    <row r="3" spans="1:11" x14ac:dyDescent="0.35">
      <c r="A3" s="1" t="s">
        <v>98</v>
      </c>
      <c r="B3" s="44" t="s">
        <v>99</v>
      </c>
      <c r="C3" s="44" t="s">
        <v>100</v>
      </c>
      <c r="D3" s="45" t="s">
        <v>101</v>
      </c>
      <c r="E3" s="1">
        <v>2021</v>
      </c>
      <c r="F3" s="1">
        <v>2022</v>
      </c>
      <c r="G3" s="1">
        <v>2023</v>
      </c>
      <c r="H3" s="1">
        <v>2024</v>
      </c>
      <c r="I3" s="1">
        <v>2025</v>
      </c>
      <c r="J3" s="1">
        <v>2026</v>
      </c>
      <c r="K3" s="1">
        <v>2027</v>
      </c>
    </row>
    <row r="4" spans="1:11" x14ac:dyDescent="0.35">
      <c r="A4" s="46" t="s">
        <v>102</v>
      </c>
      <c r="B4" s="47" t="s">
        <v>103</v>
      </c>
      <c r="C4" s="42" t="s">
        <v>104</v>
      </c>
      <c r="E4" s="49">
        <f>190</f>
        <v>190</v>
      </c>
      <c r="F4" s="49">
        <f>190</f>
        <v>190</v>
      </c>
      <c r="G4" s="49">
        <f>190</f>
        <v>190</v>
      </c>
      <c r="H4" s="70">
        <f>190</f>
        <v>190</v>
      </c>
      <c r="I4" s="49">
        <f>190</f>
        <v>190</v>
      </c>
      <c r="J4" s="49"/>
      <c r="K4" s="49"/>
    </row>
    <row r="5" spans="1:11" x14ac:dyDescent="0.35">
      <c r="A5" s="46" t="s">
        <v>102</v>
      </c>
      <c r="B5" s="47" t="s">
        <v>103</v>
      </c>
      <c r="C5" s="42" t="s">
        <v>104</v>
      </c>
      <c r="E5" s="49">
        <f>380</f>
        <v>380</v>
      </c>
      <c r="F5" s="49">
        <f>190</f>
        <v>190</v>
      </c>
      <c r="G5" s="49">
        <f>380</f>
        <v>380</v>
      </c>
      <c r="H5" s="70">
        <f>380</f>
        <v>380</v>
      </c>
      <c r="I5" s="49">
        <f>380</f>
        <v>380</v>
      </c>
      <c r="J5" s="49"/>
      <c r="K5" s="49"/>
    </row>
    <row r="6" spans="1:11" x14ac:dyDescent="0.35">
      <c r="A6" t="s">
        <v>563</v>
      </c>
      <c r="B6" s="47" t="s">
        <v>103</v>
      </c>
      <c r="C6" s="42" t="s">
        <v>104</v>
      </c>
      <c r="E6" s="49">
        <f>190</f>
        <v>190</v>
      </c>
      <c r="F6" s="49">
        <f>190</f>
        <v>190</v>
      </c>
      <c r="G6" s="49">
        <f>190</f>
        <v>190</v>
      </c>
      <c r="H6" s="69">
        <f>190</f>
        <v>190</v>
      </c>
      <c r="I6" s="69">
        <f>190</f>
        <v>190</v>
      </c>
      <c r="J6" s="49"/>
      <c r="K6" s="49"/>
    </row>
    <row r="7" spans="1:11" x14ac:dyDescent="0.35">
      <c r="A7" t="s">
        <v>106</v>
      </c>
      <c r="B7" s="47" t="s">
        <v>103</v>
      </c>
      <c r="C7" s="42" t="s">
        <v>104</v>
      </c>
      <c r="E7" s="49">
        <f>380</f>
        <v>380</v>
      </c>
      <c r="F7" s="49">
        <f>380</f>
        <v>380</v>
      </c>
      <c r="G7" s="49">
        <f>380</f>
        <v>380</v>
      </c>
      <c r="H7" s="70">
        <f>380</f>
        <v>380</v>
      </c>
      <c r="I7" s="49">
        <f>380</f>
        <v>380</v>
      </c>
      <c r="J7" s="49"/>
      <c r="K7" s="49"/>
    </row>
    <row r="8" spans="1:11" x14ac:dyDescent="0.35">
      <c r="A8" t="s">
        <v>107</v>
      </c>
      <c r="B8" s="47" t="s">
        <v>103</v>
      </c>
      <c r="C8" s="42" t="s">
        <v>104</v>
      </c>
      <c r="E8" s="49">
        <f>190</f>
        <v>190</v>
      </c>
      <c r="F8" s="49">
        <f>190</f>
        <v>190</v>
      </c>
      <c r="G8" s="49">
        <f>190</f>
        <v>190</v>
      </c>
      <c r="H8" s="69">
        <f>190</f>
        <v>190</v>
      </c>
      <c r="I8" s="69">
        <f>190</f>
        <v>190</v>
      </c>
      <c r="J8" s="49"/>
      <c r="K8" s="49"/>
    </row>
    <row r="9" spans="1:11" x14ac:dyDescent="0.35">
      <c r="A9" t="s">
        <v>107</v>
      </c>
      <c r="B9" s="47" t="s">
        <v>103</v>
      </c>
      <c r="C9" s="42" t="s">
        <v>104</v>
      </c>
      <c r="E9" s="49">
        <f>190</f>
        <v>190</v>
      </c>
      <c r="F9" s="49">
        <f>190</f>
        <v>190</v>
      </c>
      <c r="G9" s="49">
        <f>190</f>
        <v>190</v>
      </c>
      <c r="H9" s="69">
        <f>190</f>
        <v>190</v>
      </c>
      <c r="I9" s="69">
        <f>190</f>
        <v>190</v>
      </c>
      <c r="J9" s="49"/>
      <c r="K9" s="49"/>
    </row>
    <row r="10" spans="1:11" x14ac:dyDescent="0.35">
      <c r="A10" t="s">
        <v>41</v>
      </c>
      <c r="B10" s="47" t="s">
        <v>221</v>
      </c>
      <c r="C10" s="42" t="s">
        <v>104</v>
      </c>
      <c r="E10" s="49"/>
      <c r="F10" s="49"/>
      <c r="G10" s="49">
        <f>380</f>
        <v>380</v>
      </c>
      <c r="H10" s="70">
        <f>380</f>
        <v>380</v>
      </c>
      <c r="I10" s="49">
        <f>380</f>
        <v>380</v>
      </c>
      <c r="J10" s="49">
        <f>380</f>
        <v>380</v>
      </c>
      <c r="K10" s="49">
        <f>380</f>
        <v>380</v>
      </c>
    </row>
    <row r="11" spans="1:11" x14ac:dyDescent="0.35">
      <c r="F11" s="49"/>
    </row>
    <row r="12" spans="1:11" x14ac:dyDescent="0.35">
      <c r="A12" s="3" t="s">
        <v>541</v>
      </c>
    </row>
    <row r="13" spans="1:11" x14ac:dyDescent="0.35">
      <c r="A13" t="s">
        <v>105</v>
      </c>
      <c r="D13" t="s">
        <v>202</v>
      </c>
      <c r="E13" s="49">
        <f>190</f>
        <v>190</v>
      </c>
      <c r="F13" s="49">
        <f>0</f>
        <v>0</v>
      </c>
      <c r="G13" s="49">
        <f>0</f>
        <v>0</v>
      </c>
      <c r="H13" s="49">
        <f>0</f>
        <v>0</v>
      </c>
      <c r="I13" s="6" t="s">
        <v>108</v>
      </c>
    </row>
    <row r="14" spans="1:11" x14ac:dyDescent="0.35">
      <c r="A14" t="s">
        <v>107</v>
      </c>
      <c r="D14" t="s">
        <v>203</v>
      </c>
      <c r="E14" s="49">
        <f>30</f>
        <v>30</v>
      </c>
      <c r="F14" s="49">
        <f>30</f>
        <v>30</v>
      </c>
      <c r="G14" s="49">
        <f>30</f>
        <v>30</v>
      </c>
      <c r="H14" s="49">
        <f>30</f>
        <v>30</v>
      </c>
      <c r="I14" s="6" t="s">
        <v>108</v>
      </c>
    </row>
    <row r="15" spans="1:11" x14ac:dyDescent="0.35">
      <c r="A15" t="s">
        <v>107</v>
      </c>
      <c r="D15" t="s">
        <v>202</v>
      </c>
      <c r="E15" s="49">
        <f>1520</f>
        <v>1520</v>
      </c>
      <c r="F15" s="49">
        <f>9*190</f>
        <v>1710</v>
      </c>
      <c r="G15" s="49">
        <f>6*190</f>
        <v>1140</v>
      </c>
      <c r="H15" s="49">
        <f>3*190</f>
        <v>570</v>
      </c>
      <c r="I15" s="6" t="s">
        <v>14</v>
      </c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</sheetData>
  <pageMargins left="0.70866141732283472" right="0.70866141732283472" top="0.74803149606299213" bottom="0.74803149606299213" header="0.31496062992125984" footer="0.31496062992125984"/>
  <pageSetup paperSize="9" scale="82" orientation="landscape" r:id="rId1"/>
  <ignoredErrors>
    <ignoredError sqref="E5:E6 F5:I5 E7:I7 G6:I6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5</vt:i4>
      </vt:variant>
      <vt:variant>
        <vt:lpstr>Benoemde bereiken</vt:lpstr>
      </vt:variant>
      <vt:variant>
        <vt:i4>2</vt:i4>
      </vt:variant>
    </vt:vector>
  </HeadingPairs>
  <TitlesOfParts>
    <vt:vector size="7" baseType="lpstr">
      <vt:lpstr>Balans</vt:lpstr>
      <vt:lpstr>SHBM</vt:lpstr>
      <vt:lpstr>Bankmutaties</vt:lpstr>
      <vt:lpstr>Sponsoring Bymyra</vt:lpstr>
      <vt:lpstr>Sponsoring Kameroen</vt:lpstr>
      <vt:lpstr>Balans!Afdrukbereik</vt:lpstr>
      <vt:lpstr>SHBM!Afdrukbereik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Hofenk, Adri</cp:lastModifiedBy>
  <cp:lastPrinted>2024-02-27T15:04:53Z</cp:lastPrinted>
  <dcterms:created xsi:type="dcterms:W3CDTF">2015-06-05T18:19:34Z</dcterms:created>
  <dcterms:modified xsi:type="dcterms:W3CDTF">2025-05-11T08:44:53Z</dcterms:modified>
</cp:coreProperties>
</file>